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mbert\Downloads\"/>
    </mc:Choice>
  </mc:AlternateContent>
  <xr:revisionPtr revIDLastSave="0" documentId="13_ncr:1_{FAEA1A02-2A59-48BE-A2EE-9EDE47F736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del" sheetId="1" r:id="rId1"/>
    <sheet name="UCVC" sheetId="2" r:id="rId2"/>
    <sheet name="data" sheetId="5" r:id="rId3"/>
    <sheet name="Calibration" sheetId="8" r:id="rId4"/>
  </sheets>
  <definedNames>
    <definedName name="solver_adj" localSheetId="3" hidden="1">Calibration!$C$13:$C$17</definedName>
    <definedName name="solver_adj" localSheetId="0" hidden="1">model!$G$18:$G$23</definedName>
    <definedName name="solver_cvg" localSheetId="3" hidden="1">"""""""""""""""""""""""""""""""""""""""""""""""""""""""""""""""""""""""""""""""""""""""""""""""""""""""""""""""""""""""""""""""0,0001"""""""""""""""""""""""""""""""""""""""""""""""""""""""""""""""""""""""""""""""""""""""""""""""""""""""""""""""""""""""""""""""</definedName>
    <definedName name="solver_cvg" localSheetId="0" hidden="1">0.0001</definedName>
    <definedName name="solver_drv" localSheetId="3" hidden="1">1</definedName>
    <definedName name="solver_drv" localSheetId="0" hidden="1">1</definedName>
    <definedName name="solver_eng" localSheetId="3" hidden="1">1</definedName>
    <definedName name="solver_eng" localSheetId="0" hidden="1">1</definedName>
    <definedName name="solver_est" localSheetId="3" hidden="1">1</definedName>
    <definedName name="solver_est" localSheetId="0" hidden="1">1</definedName>
    <definedName name="solver_itr" localSheetId="3" hidden="1">2147483647</definedName>
    <definedName name="solver_itr" localSheetId="0" hidden="1">2147483647</definedName>
    <definedName name="solver_lhs1" localSheetId="3" hidden="1">Calibration!$C$19:$C$23</definedName>
    <definedName name="solver_lhs1" localSheetId="0" hidden="1">model!$G$25:$G$30</definedName>
    <definedName name="solver_lhs2" localSheetId="0" hidden="1">model!$G$26</definedName>
    <definedName name="solver_lhs3" localSheetId="0" hidden="1">model!$G$27</definedName>
    <definedName name="solver_lhs4" localSheetId="0" hidden="1">model!$G$28</definedName>
    <definedName name="solver_lhs5" localSheetId="0" hidden="1">model!$G$29</definedName>
    <definedName name="solver_lhs6" localSheetId="0" hidden="1">model!$G$30</definedName>
    <definedName name="solver_lhs7" localSheetId="0" hidden="1">model!#REF!</definedName>
    <definedName name="solver_mip" localSheetId="3" hidden="1">2147483647</definedName>
    <definedName name="solver_mip" localSheetId="0" hidden="1">2147483647</definedName>
    <definedName name="solver_mni" localSheetId="3" hidden="1">30</definedName>
    <definedName name="solver_mni" localSheetId="0" hidden="1">30</definedName>
    <definedName name="solver_mrt" localSheetId="3" hidden="1">"""""""""""""""""""""""""""""""""""""""""""""""""""""""""""""""""""""""""""""""""""""""""""""""""""""""""""""""""""""""""""""""0,075"""""""""""""""""""""""""""""""""""""""""""""""""""""""""""""""""""""""""""""""""""""""""""""""""""""""""""""""""""""""""""""""</definedName>
    <definedName name="solver_mrt" localSheetId="0" hidden="1">0.075</definedName>
    <definedName name="solver_msl" localSheetId="3" hidden="1">2</definedName>
    <definedName name="solver_msl" localSheetId="0" hidden="1">2</definedName>
    <definedName name="solver_neg" localSheetId="3" hidden="1">1</definedName>
    <definedName name="solver_neg" localSheetId="0" hidden="1">1</definedName>
    <definedName name="solver_nod" localSheetId="3" hidden="1">2147483647</definedName>
    <definedName name="solver_nod" localSheetId="0" hidden="1">2147483647</definedName>
    <definedName name="solver_num" localSheetId="3" hidden="1">1</definedName>
    <definedName name="solver_num" localSheetId="0" hidden="1">1</definedName>
    <definedName name="solver_nwt" localSheetId="3" hidden="1">1</definedName>
    <definedName name="solver_nwt" localSheetId="0" hidden="1">1</definedName>
    <definedName name="solver_opt" localSheetId="3" hidden="1">Calibration!$C$25</definedName>
    <definedName name="solver_opt" localSheetId="0" hidden="1">model!$G$32</definedName>
    <definedName name="solver_pre" localSheetId="3" hidden="1">"""""""""""""""""""""""""""""""""""""""""""""""""""""""""""""""""""""""""""""""""""""""""""""""""""""""""""""""""""""""""""""""0,000001"""""""""""""""""""""""""""""""""""""""""""""""""""""""""""""""""""""""""""""""""""""""""""""""""""""""""""""""""""""""""""""""</definedName>
    <definedName name="solver_pre" localSheetId="0" hidden="1">0.000001</definedName>
    <definedName name="solver_rbv" localSheetId="3" hidden="1">1</definedName>
    <definedName name="solver_rbv" localSheetId="0" hidden="1">1</definedName>
    <definedName name="solver_rel1" localSheetId="3" hidden="1">2</definedName>
    <definedName name="solver_rel1" localSheetId="0" hidden="1">2</definedName>
    <definedName name="solver_rel2" localSheetId="0" hidden="1">2</definedName>
    <definedName name="solver_rel3" localSheetId="0" hidden="1">2</definedName>
    <definedName name="solver_rel4" localSheetId="0" hidden="1">2</definedName>
    <definedName name="solver_rel5" localSheetId="0" hidden="1">2</definedName>
    <definedName name="solver_rel6" localSheetId="0" hidden="1">2</definedName>
    <definedName name="solver_rel7" localSheetId="0" hidden="1">2</definedName>
    <definedName name="solver_rhs1" localSheetId="3" hidden="1">0</definedName>
    <definedName name="solver_rhs1" localSheetId="0" hidden="1">0</definedName>
    <definedName name="solver_rhs2" localSheetId="0" hidden="1">0</definedName>
    <definedName name="solver_rhs3" localSheetId="0" hidden="1">0</definedName>
    <definedName name="solver_rhs4" localSheetId="0" hidden="1">0</definedName>
    <definedName name="solver_rhs5" localSheetId="0" hidden="1">0</definedName>
    <definedName name="solver_rhs6" localSheetId="0" hidden="1">0</definedName>
    <definedName name="solver_rhs7" localSheetId="0" hidden="1">0</definedName>
    <definedName name="solver_rlx" localSheetId="3" hidden="1">2</definedName>
    <definedName name="solver_rlx" localSheetId="0" hidden="1">2</definedName>
    <definedName name="solver_rsd" localSheetId="3" hidden="1">0</definedName>
    <definedName name="solver_rsd" localSheetId="0" hidden="1">0</definedName>
    <definedName name="solver_scl" localSheetId="3" hidden="1">1</definedName>
    <definedName name="solver_scl" localSheetId="0" hidden="1">1</definedName>
    <definedName name="solver_sho" localSheetId="3" hidden="1">2</definedName>
    <definedName name="solver_sho" localSheetId="0" hidden="1">2</definedName>
    <definedName name="solver_ssz" localSheetId="3" hidden="1">100</definedName>
    <definedName name="solver_ssz" localSheetId="0" hidden="1">100</definedName>
    <definedName name="solver_tim" localSheetId="3" hidden="1">2147483647</definedName>
    <definedName name="solver_tim" localSheetId="0" hidden="1">2147483647</definedName>
    <definedName name="solver_tol" localSheetId="3" hidden="1">1</definedName>
    <definedName name="solver_tol" localSheetId="0" hidden="1">1</definedName>
    <definedName name="solver_typ" localSheetId="3" hidden="1">3</definedName>
    <definedName name="solver_typ" localSheetId="0" hidden="1">3</definedName>
    <definedName name="solver_val" localSheetId="3" hidden="1">0</definedName>
    <definedName name="solver_val" localSheetId="0" hidden="1">0</definedName>
    <definedName name="solver_ver" localSheetId="3" hidden="1">3</definedName>
    <definedName name="solver_ver" localSheetId="0" hidden="1">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G13" i="1"/>
  <c r="G11" i="1"/>
  <c r="G5" i="1"/>
  <c r="C11" i="8"/>
  <c r="C19" i="8"/>
  <c r="C20" i="8"/>
  <c r="C21" i="8"/>
  <c r="C22" i="8"/>
  <c r="C23" i="8"/>
  <c r="C25" i="8"/>
  <c r="H4" i="5"/>
  <c r="I4" i="5"/>
  <c r="H5" i="5"/>
  <c r="I5" i="5"/>
  <c r="H6" i="5"/>
  <c r="I6" i="5"/>
  <c r="H7" i="5"/>
  <c r="I7" i="5"/>
  <c r="H8" i="5"/>
  <c r="I8" i="5"/>
  <c r="H9" i="5"/>
  <c r="I9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21" i="5"/>
  <c r="I21" i="5"/>
  <c r="H22" i="5"/>
  <c r="I22" i="5"/>
  <c r="H23" i="5"/>
  <c r="I23" i="5"/>
  <c r="H24" i="5"/>
  <c r="I24" i="5"/>
  <c r="H25" i="5"/>
  <c r="I25" i="5"/>
  <c r="H26" i="5"/>
  <c r="I26" i="5"/>
  <c r="H27" i="5"/>
  <c r="I27" i="5"/>
  <c r="I2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M28" i="5"/>
  <c r="G9" i="1"/>
  <c r="G7" i="1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32" i="5"/>
  <c r="G50" i="5"/>
  <c r="G51" i="5"/>
  <c r="G52" i="5"/>
  <c r="G53" i="5"/>
  <c r="G54" i="5"/>
  <c r="G55" i="5"/>
  <c r="G40" i="5"/>
  <c r="G41" i="5"/>
  <c r="G42" i="5"/>
  <c r="G43" i="5"/>
  <c r="G44" i="5"/>
  <c r="G45" i="5"/>
  <c r="G46" i="5"/>
  <c r="G47" i="5"/>
  <c r="G48" i="5"/>
  <c r="G49" i="5"/>
  <c r="G33" i="5"/>
  <c r="G34" i="5"/>
  <c r="G35" i="5"/>
  <c r="G36" i="5"/>
  <c r="G37" i="5"/>
  <c r="G38" i="5"/>
  <c r="G39" i="5"/>
  <c r="G32" i="5"/>
  <c r="G25" i="1"/>
  <c r="G26" i="1"/>
  <c r="G27" i="1"/>
  <c r="G28" i="1"/>
  <c r="G29" i="1"/>
  <c r="G30" i="1"/>
  <c r="G32" i="1"/>
  <c r="C22" i="1"/>
  <c r="C21" i="1"/>
  <c r="C24" i="1"/>
  <c r="C20" i="1"/>
  <c r="C19" i="1"/>
  <c r="C23" i="1"/>
  <c r="C26" i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3" i="2"/>
  <c r="H3" i="2"/>
  <c r="G3" i="2"/>
  <c r="I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3" i="2"/>
  <c r="H4" i="2"/>
  <c r="G4" i="2"/>
  <c r="I4" i="2"/>
  <c r="H5" i="2"/>
  <c r="G5" i="2"/>
  <c r="I5" i="2"/>
  <c r="H6" i="2"/>
  <c r="G6" i="2"/>
  <c r="I6" i="2"/>
  <c r="H7" i="2"/>
  <c r="G7" i="2"/>
  <c r="I7" i="2"/>
  <c r="H8" i="2"/>
  <c r="G8" i="2"/>
  <c r="I8" i="2"/>
  <c r="H9" i="2"/>
  <c r="G9" i="2"/>
  <c r="I9" i="2"/>
  <c r="H10" i="2"/>
  <c r="G10" i="2"/>
  <c r="I10" i="2"/>
  <c r="H11" i="2"/>
  <c r="G11" i="2"/>
  <c r="I11" i="2"/>
  <c r="H12" i="2"/>
  <c r="G12" i="2"/>
  <c r="I12" i="2"/>
  <c r="H13" i="2"/>
  <c r="G13" i="2"/>
  <c r="I13" i="2"/>
  <c r="H14" i="2"/>
  <c r="G14" i="2"/>
  <c r="I14" i="2"/>
  <c r="H15" i="2"/>
  <c r="G15" i="2"/>
  <c r="I15" i="2"/>
  <c r="H16" i="2"/>
  <c r="G16" i="2"/>
  <c r="I16" i="2"/>
  <c r="H17" i="2"/>
  <c r="G17" i="2"/>
  <c r="I17" i="2"/>
  <c r="H18" i="2"/>
  <c r="G18" i="2"/>
  <c r="I18" i="2"/>
  <c r="H19" i="2"/>
  <c r="G19" i="2"/>
  <c r="I19" i="2"/>
  <c r="H20" i="2"/>
  <c r="G20" i="2"/>
  <c r="I20" i="2"/>
  <c r="H21" i="2"/>
  <c r="G21" i="2"/>
  <c r="I21" i="2"/>
  <c r="H22" i="2"/>
  <c r="G22" i="2"/>
  <c r="I22" i="2"/>
  <c r="H23" i="2"/>
  <c r="G23" i="2"/>
  <c r="I23" i="2"/>
  <c r="H24" i="2"/>
  <c r="G24" i="2"/>
  <c r="I24" i="2"/>
  <c r="H25" i="2"/>
  <c r="G25" i="2"/>
  <c r="I25" i="2"/>
  <c r="H26" i="2"/>
  <c r="G26" i="2"/>
  <c r="I26" i="2"/>
  <c r="H27" i="2"/>
  <c r="G27" i="2"/>
  <c r="I27" i="2"/>
  <c r="H28" i="2"/>
  <c r="G28" i="2"/>
  <c r="I28" i="2"/>
  <c r="H29" i="2"/>
  <c r="G29" i="2"/>
  <c r="I29" i="2"/>
  <c r="H30" i="2"/>
  <c r="G30" i="2"/>
  <c r="I30" i="2"/>
  <c r="H31" i="2"/>
  <c r="G31" i="2"/>
  <c r="I31" i="2"/>
  <c r="H32" i="2"/>
  <c r="G32" i="2"/>
  <c r="I32" i="2"/>
  <c r="H33" i="2"/>
  <c r="G33" i="2"/>
  <c r="I33" i="2"/>
  <c r="H34" i="2"/>
  <c r="G34" i="2"/>
  <c r="I34" i="2"/>
  <c r="H35" i="2"/>
  <c r="G35" i="2"/>
  <c r="I35" i="2"/>
  <c r="H36" i="2"/>
  <c r="G36" i="2"/>
  <c r="I36" i="2"/>
  <c r="H37" i="2"/>
  <c r="G37" i="2"/>
  <c r="I37" i="2"/>
  <c r="H38" i="2"/>
  <c r="G38" i="2"/>
  <c r="I38" i="2"/>
  <c r="H39" i="2"/>
  <c r="G39" i="2"/>
  <c r="I39" i="2"/>
  <c r="H40" i="2"/>
  <c r="G40" i="2"/>
  <c r="I40" i="2"/>
  <c r="H41" i="2"/>
  <c r="G41" i="2"/>
  <c r="I41" i="2"/>
  <c r="H42" i="2"/>
  <c r="G42" i="2"/>
  <c r="I42" i="2"/>
  <c r="H43" i="2"/>
  <c r="G43" i="2"/>
  <c r="I43" i="2"/>
  <c r="H44" i="2"/>
  <c r="G44" i="2"/>
  <c r="I44" i="2"/>
  <c r="H45" i="2"/>
  <c r="G45" i="2"/>
  <c r="I45" i="2"/>
  <c r="H46" i="2"/>
  <c r="G46" i="2"/>
  <c r="I46" i="2"/>
  <c r="H47" i="2"/>
  <c r="G47" i="2"/>
  <c r="I47" i="2"/>
  <c r="H48" i="2"/>
  <c r="G48" i="2"/>
  <c r="I48" i="2"/>
  <c r="H49" i="2"/>
  <c r="G49" i="2"/>
  <c r="I49" i="2"/>
  <c r="H50" i="2"/>
  <c r="G50" i="2"/>
  <c r="I50" i="2"/>
  <c r="H51" i="2"/>
  <c r="G51" i="2"/>
  <c r="I51" i="2"/>
  <c r="H52" i="2"/>
  <c r="G52" i="2"/>
  <c r="I52" i="2"/>
  <c r="H53" i="2"/>
  <c r="G53" i="2"/>
  <c r="I53" i="2"/>
  <c r="D4" i="2"/>
  <c r="C4" i="2"/>
  <c r="E4" i="2"/>
  <c r="B5" i="2"/>
  <c r="D5" i="2"/>
  <c r="C5" i="2"/>
  <c r="E5" i="2"/>
  <c r="B6" i="2"/>
  <c r="D6" i="2"/>
  <c r="C6" i="2"/>
  <c r="E6" i="2"/>
  <c r="B7" i="2"/>
  <c r="D7" i="2"/>
  <c r="C7" i="2"/>
  <c r="E7" i="2"/>
  <c r="B8" i="2"/>
  <c r="D8" i="2"/>
  <c r="C8" i="2"/>
  <c r="E8" i="2"/>
  <c r="B9" i="2"/>
  <c r="D9" i="2"/>
  <c r="C9" i="2"/>
  <c r="E9" i="2"/>
  <c r="B10" i="2"/>
  <c r="D10" i="2"/>
  <c r="C10" i="2"/>
  <c r="E10" i="2"/>
  <c r="B11" i="2"/>
  <c r="D11" i="2"/>
  <c r="C11" i="2"/>
  <c r="E11" i="2"/>
  <c r="B12" i="2"/>
  <c r="D12" i="2"/>
  <c r="C12" i="2"/>
  <c r="E12" i="2"/>
  <c r="B13" i="2"/>
  <c r="D13" i="2"/>
  <c r="C13" i="2"/>
  <c r="E13" i="2"/>
  <c r="B14" i="2"/>
  <c r="D14" i="2"/>
  <c r="C14" i="2"/>
  <c r="E14" i="2"/>
  <c r="B15" i="2"/>
  <c r="D15" i="2"/>
  <c r="C15" i="2"/>
  <c r="E15" i="2"/>
  <c r="B16" i="2"/>
  <c r="D16" i="2"/>
  <c r="C16" i="2"/>
  <c r="E16" i="2"/>
  <c r="B17" i="2"/>
  <c r="D17" i="2"/>
  <c r="C17" i="2"/>
  <c r="E17" i="2"/>
  <c r="B18" i="2"/>
  <c r="D18" i="2"/>
  <c r="C18" i="2"/>
  <c r="E18" i="2"/>
  <c r="B19" i="2"/>
  <c r="D19" i="2"/>
  <c r="C19" i="2"/>
  <c r="E19" i="2"/>
  <c r="B20" i="2"/>
  <c r="D20" i="2"/>
  <c r="C20" i="2"/>
  <c r="E20" i="2"/>
  <c r="B21" i="2"/>
  <c r="D21" i="2"/>
  <c r="C21" i="2"/>
  <c r="E21" i="2"/>
  <c r="B22" i="2"/>
  <c r="D22" i="2"/>
  <c r="C22" i="2"/>
  <c r="E22" i="2"/>
  <c r="B23" i="2"/>
  <c r="D23" i="2"/>
  <c r="C23" i="2"/>
  <c r="E23" i="2"/>
  <c r="B24" i="2"/>
  <c r="D24" i="2"/>
  <c r="C24" i="2"/>
  <c r="E24" i="2"/>
  <c r="B25" i="2"/>
  <c r="D25" i="2"/>
  <c r="C25" i="2"/>
  <c r="E25" i="2"/>
  <c r="B26" i="2"/>
  <c r="D26" i="2"/>
  <c r="C26" i="2"/>
  <c r="E26" i="2"/>
  <c r="B27" i="2"/>
  <c r="D27" i="2"/>
  <c r="C27" i="2"/>
  <c r="E27" i="2"/>
  <c r="B28" i="2"/>
  <c r="D28" i="2"/>
  <c r="C28" i="2"/>
  <c r="E28" i="2"/>
  <c r="B29" i="2"/>
  <c r="D29" i="2"/>
  <c r="C29" i="2"/>
  <c r="E29" i="2"/>
  <c r="B30" i="2"/>
  <c r="D30" i="2"/>
  <c r="C30" i="2"/>
  <c r="E30" i="2"/>
  <c r="B31" i="2"/>
  <c r="D31" i="2"/>
  <c r="C31" i="2"/>
  <c r="E31" i="2"/>
  <c r="B32" i="2"/>
  <c r="D32" i="2"/>
  <c r="C32" i="2"/>
  <c r="E32" i="2"/>
  <c r="B33" i="2"/>
  <c r="D33" i="2"/>
  <c r="C33" i="2"/>
  <c r="E33" i="2"/>
  <c r="B34" i="2"/>
  <c r="D34" i="2"/>
  <c r="C34" i="2"/>
  <c r="E34" i="2"/>
  <c r="B35" i="2"/>
  <c r="D35" i="2"/>
  <c r="C35" i="2"/>
  <c r="E35" i="2"/>
  <c r="B36" i="2"/>
  <c r="D36" i="2"/>
  <c r="C36" i="2"/>
  <c r="E36" i="2"/>
  <c r="B37" i="2"/>
  <c r="D37" i="2"/>
  <c r="C37" i="2"/>
  <c r="E37" i="2"/>
  <c r="B38" i="2"/>
  <c r="D38" i="2"/>
  <c r="C38" i="2"/>
  <c r="E38" i="2"/>
  <c r="B39" i="2"/>
  <c r="D39" i="2"/>
  <c r="C39" i="2"/>
  <c r="E39" i="2"/>
  <c r="B40" i="2"/>
  <c r="D40" i="2"/>
  <c r="C40" i="2"/>
  <c r="E40" i="2"/>
  <c r="B41" i="2"/>
  <c r="D41" i="2"/>
  <c r="C41" i="2"/>
  <c r="E41" i="2"/>
  <c r="B42" i="2"/>
  <c r="D42" i="2"/>
  <c r="C42" i="2"/>
  <c r="E42" i="2"/>
  <c r="B43" i="2"/>
  <c r="D43" i="2"/>
  <c r="C43" i="2"/>
  <c r="E43" i="2"/>
  <c r="B44" i="2"/>
  <c r="D44" i="2"/>
  <c r="C44" i="2"/>
  <c r="E44" i="2"/>
  <c r="B45" i="2"/>
  <c r="D45" i="2"/>
  <c r="C45" i="2"/>
  <c r="E45" i="2"/>
  <c r="B46" i="2"/>
  <c r="D46" i="2"/>
  <c r="C46" i="2"/>
  <c r="E46" i="2"/>
  <c r="B47" i="2"/>
  <c r="D47" i="2"/>
  <c r="C47" i="2"/>
  <c r="E47" i="2"/>
  <c r="B48" i="2"/>
  <c r="D48" i="2"/>
  <c r="C48" i="2"/>
  <c r="E48" i="2"/>
  <c r="B49" i="2"/>
  <c r="D49" i="2"/>
  <c r="C49" i="2"/>
  <c r="E49" i="2"/>
  <c r="B50" i="2"/>
  <c r="D50" i="2"/>
  <c r="C50" i="2"/>
  <c r="E50" i="2"/>
  <c r="B51" i="2"/>
  <c r="D51" i="2"/>
  <c r="C51" i="2"/>
  <c r="E51" i="2"/>
  <c r="B52" i="2"/>
  <c r="D52" i="2"/>
  <c r="C52" i="2"/>
  <c r="E52" i="2"/>
  <c r="B53" i="2"/>
  <c r="D53" i="2"/>
  <c r="C53" i="2"/>
  <c r="E53" i="2"/>
  <c r="D3" i="2"/>
  <c r="C3" i="2"/>
  <c r="E3" i="2"/>
</calcChain>
</file>

<file path=xl/sharedStrings.xml><?xml version="1.0" encoding="utf-8"?>
<sst xmlns="http://schemas.openxmlformats.org/spreadsheetml/2006/main" count="179" uniqueCount="97">
  <si>
    <t>s</t>
  </si>
  <si>
    <t>c</t>
  </si>
  <si>
    <t>p</t>
  </si>
  <si>
    <t>u</t>
  </si>
  <si>
    <t>v</t>
  </si>
  <si>
    <t>q</t>
  </si>
  <si>
    <t>w</t>
  </si>
  <si>
    <t>theta</t>
  </si>
  <si>
    <t>VC A</t>
  </si>
  <si>
    <t>U A</t>
  </si>
  <si>
    <t>U B</t>
  </si>
  <si>
    <t>Graficar escenari A?</t>
  </si>
  <si>
    <t>Sí</t>
  </si>
  <si>
    <t>Graficar equilibri A?</t>
  </si>
  <si>
    <t>Graficar escenari B?</t>
  </si>
  <si>
    <t>Graficar equilibri B?</t>
  </si>
  <si>
    <t>Table I: Initial solution</t>
  </si>
  <si>
    <t>Table II: Comparative Analysis</t>
  </si>
  <si>
    <t>Parameters</t>
  </si>
  <si>
    <t>Variables</t>
  </si>
  <si>
    <t>Equations</t>
  </si>
  <si>
    <t>Objective function</t>
  </si>
  <si>
    <t>No</t>
  </si>
  <si>
    <t>f5: theta-v/u=0</t>
  </si>
  <si>
    <t>b</t>
  </si>
  <si>
    <t>beta</t>
  </si>
  <si>
    <t>phi</t>
  </si>
  <si>
    <t>f1:  u-s/(s+p)</t>
  </si>
  <si>
    <t>f2: A-w-c*s/q=0</t>
  </si>
  <si>
    <t>A</t>
  </si>
  <si>
    <r>
      <t>matchings (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)=</t>
    </r>
  </si>
  <si>
    <r>
      <t>vacancies (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)=</t>
    </r>
  </si>
  <si>
    <r>
      <t>separations (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)=</t>
    </r>
  </si>
  <si>
    <r>
      <t>employed (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) =</t>
    </r>
  </si>
  <si>
    <t>unemployed (u) =</t>
  </si>
  <si>
    <t xml:space="preserve">labor force (l)= </t>
  </si>
  <si>
    <t>e+ u</t>
  </si>
  <si>
    <t>vacancy rate=</t>
  </si>
  <si>
    <t>v/l</t>
  </si>
  <si>
    <t>unemployment rate =</t>
  </si>
  <si>
    <t>u/l</t>
  </si>
  <si>
    <t>job finding rate=</t>
  </si>
  <si>
    <t>m/u</t>
  </si>
  <si>
    <t>labor market tithgness (theta)=</t>
  </si>
  <si>
    <t>v/u</t>
  </si>
  <si>
    <t>m</t>
  </si>
  <si>
    <t>e</t>
  </si>
  <si>
    <t>2010m1</t>
  </si>
  <si>
    <t>2011m1</t>
  </si>
  <si>
    <t>2012m1</t>
  </si>
  <si>
    <t>2013m1</t>
  </si>
  <si>
    <t>2014m1</t>
  </si>
  <si>
    <t>2015m1</t>
  </si>
  <si>
    <t>2016m1</t>
  </si>
  <si>
    <t>2017m1</t>
  </si>
  <si>
    <t>2018m1</t>
  </si>
  <si>
    <t>2019m1</t>
  </si>
  <si>
    <t>Original variables</t>
  </si>
  <si>
    <t>Modified variables for the model</t>
  </si>
  <si>
    <t>Year</t>
  </si>
  <si>
    <t>l=u+e</t>
  </si>
  <si>
    <t>vr=v/l</t>
  </si>
  <si>
    <t>ur=u/l</t>
  </si>
  <si>
    <t>p=m/u</t>
  </si>
  <si>
    <t>theta=v/u</t>
  </si>
  <si>
    <t>sr=s/e</t>
  </si>
  <si>
    <t>K1A</t>
  </si>
  <si>
    <t>K2A</t>
  </si>
  <si>
    <t>f3: -p+phi*(theta)^0.5=0</t>
  </si>
  <si>
    <t>f1^2+f2^2+f3^2+f4^2+f5^2+f6^2=0</t>
  </si>
  <si>
    <t>f4: -q+phi*(theta)^-0.5=0</t>
  </si>
  <si>
    <t>f6: -w+beta*A+beta*c*theta+(1-beta)*b</t>
  </si>
  <si>
    <t>Unemployment curve (UC) and Vacancy curve (VC) used in the graphical representation of the interactive model (see Appendix C of the paper for more details)</t>
  </si>
  <si>
    <t>Data used to obtain the key model's variables</t>
  </si>
  <si>
    <t>2002m1</t>
  </si>
  <si>
    <t>2003m1</t>
  </si>
  <si>
    <t>2004m1</t>
  </si>
  <si>
    <t>2005m1</t>
  </si>
  <si>
    <t>2006m1</t>
  </si>
  <si>
    <t>2007m1</t>
  </si>
  <si>
    <t>2008m1</t>
  </si>
  <si>
    <t>2009m1</t>
  </si>
  <si>
    <t>2020m1</t>
  </si>
  <si>
    <t>2021m1</t>
  </si>
  <si>
    <t>2022m1</t>
  </si>
  <si>
    <t>2023m1</t>
  </si>
  <si>
    <t>2024m1</t>
  </si>
  <si>
    <t>2025m1</t>
  </si>
  <si>
    <t>Hires: Total Nonfarm (JTSHIL) | FRED | St. Louis Fed</t>
  </si>
  <si>
    <t>Job Openings: Total Nonfarm (JTSJOL) | FRED | St. Louis Fed</t>
  </si>
  <si>
    <t>Total Separations: Total Nonfarm (JTSTSL) | FRED | St. Louis Fed</t>
  </si>
  <si>
    <t>Employment Level (CE16OV) | FRED | St. Louis Fed</t>
  </si>
  <si>
    <t>Unemployment Level (UNEMPLOY) | FRED | St. Louis Fed</t>
  </si>
  <si>
    <t>average</t>
  </si>
  <si>
    <t>Calibration</t>
  </si>
  <si>
    <t>See appendix B of the paper for details</t>
  </si>
  <si>
    <t>f1^2+f2^2+f3^2+f4^2+f6^2=0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</si>
</sst>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2" borderId="0" xfId="0" applyFill="1"/>
    <xf numFmtId="0" fontId="0" fillId="2" borderId="7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1" xfId="0" applyFill="1" applyBorder="1"/>
    <xf numFmtId="164" fontId="0" fillId="2" borderId="10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7" fillId="0" borderId="0" xfId="1"/>
    <xf numFmtId="0" fontId="3" fillId="0" borderId="0" xfId="0" applyFont="1"/>
    <xf numFmtId="0" fontId="0" fillId="2" borderId="12" xfId="0" applyFill="1" applyBorder="1"/>
    <xf numFmtId="164" fontId="0" fillId="2" borderId="12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165" fontId="0" fillId="0" borderId="0" xfId="0" applyNumberForma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40356079337652"/>
          <c:y val="6.1942428037872095E-2"/>
          <c:w val="0.82573533860380577"/>
          <c:h val="0.85296512045051509"/>
        </c:manualLayout>
      </c:layout>
      <c:scatterChart>
        <c:scatterStyle val="smoothMarker"/>
        <c:varyColors val="0"/>
        <c:ser>
          <c:idx val="0"/>
          <c:order val="0"/>
          <c:tx>
            <c:v>Initial solution VC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UCVC!$B$3:$B$53</c:f>
              <c:numCache>
                <c:formatCode>General</c:formatCode>
                <c:ptCount val="51"/>
                <c:pt idx="0">
                  <c:v>1.0000000000000001E-5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</c:numCache>
            </c:numRef>
          </c:xVal>
          <c:yVal>
            <c:numRef>
              <c:f>UCVC!$E$3:$E$53</c:f>
              <c:numCache>
                <c:formatCode>General</c:formatCode>
                <c:ptCount val="51"/>
                <c:pt idx="0">
                  <c:v>6.3473762785942513E-6</c:v>
                </c:pt>
                <c:pt idx="1">
                  <c:v>6.347376278594251E-3</c:v>
                </c:pt>
                <c:pt idx="2">
                  <c:v>1.2694752557188502E-2</c:v>
                </c:pt>
                <c:pt idx="3">
                  <c:v>1.9042128835782754E-2</c:v>
                </c:pt>
                <c:pt idx="4">
                  <c:v>2.5389505114377004E-2</c:v>
                </c:pt>
                <c:pt idx="5">
                  <c:v>3.1736881392971254E-2</c:v>
                </c:pt>
                <c:pt idx="6">
                  <c:v>3.8084257671565508E-2</c:v>
                </c:pt>
                <c:pt idx="7">
                  <c:v>4.4431633950159762E-2</c:v>
                </c:pt>
                <c:pt idx="8">
                  <c:v>5.0779010228754008E-2</c:v>
                </c:pt>
                <c:pt idx="9">
                  <c:v>5.7126386507348255E-2</c:v>
                </c:pt>
                <c:pt idx="10">
                  <c:v>6.3473762785942509E-2</c:v>
                </c:pt>
                <c:pt idx="11">
                  <c:v>6.9821139064536755E-2</c:v>
                </c:pt>
                <c:pt idx="12">
                  <c:v>7.6168515343131002E-2</c:v>
                </c:pt>
                <c:pt idx="13">
                  <c:v>8.2515891621725249E-2</c:v>
                </c:pt>
                <c:pt idx="14">
                  <c:v>8.8863267900319509E-2</c:v>
                </c:pt>
                <c:pt idx="15">
                  <c:v>9.521064417891377E-2</c:v>
                </c:pt>
                <c:pt idx="16">
                  <c:v>0.10155802045750802</c:v>
                </c:pt>
                <c:pt idx="17">
                  <c:v>0.10790539673610228</c:v>
                </c:pt>
                <c:pt idx="18">
                  <c:v>0.11425277301469654</c:v>
                </c:pt>
                <c:pt idx="19">
                  <c:v>0.12060014929329078</c:v>
                </c:pt>
                <c:pt idx="20">
                  <c:v>0.12694752557188504</c:v>
                </c:pt>
                <c:pt idx="21">
                  <c:v>0.13329490185047929</c:v>
                </c:pt>
                <c:pt idx="22">
                  <c:v>0.13964227812907357</c:v>
                </c:pt>
                <c:pt idx="23">
                  <c:v>0.14598965440766781</c:v>
                </c:pt>
                <c:pt idx="24">
                  <c:v>0.15233703068626209</c:v>
                </c:pt>
                <c:pt idx="25">
                  <c:v>0.15868440696485631</c:v>
                </c:pt>
                <c:pt idx="26">
                  <c:v>0.16503178324345058</c:v>
                </c:pt>
                <c:pt idx="27">
                  <c:v>0.17137915952204483</c:v>
                </c:pt>
                <c:pt idx="28">
                  <c:v>0.17772653580063907</c:v>
                </c:pt>
                <c:pt idx="29">
                  <c:v>0.18407391207923335</c:v>
                </c:pt>
                <c:pt idx="30">
                  <c:v>0.19042128835782759</c:v>
                </c:pt>
                <c:pt idx="31">
                  <c:v>0.19676866463642184</c:v>
                </c:pt>
                <c:pt idx="32">
                  <c:v>0.20311604091501612</c:v>
                </c:pt>
                <c:pt idx="33">
                  <c:v>0.20946341719361036</c:v>
                </c:pt>
                <c:pt idx="34">
                  <c:v>0.21581079347220464</c:v>
                </c:pt>
                <c:pt idx="35">
                  <c:v>0.22215816975079888</c:v>
                </c:pt>
                <c:pt idx="36">
                  <c:v>0.22850554602939313</c:v>
                </c:pt>
                <c:pt idx="37">
                  <c:v>0.23485292230798741</c:v>
                </c:pt>
                <c:pt idx="38">
                  <c:v>0.24120029858658165</c:v>
                </c:pt>
                <c:pt idx="39">
                  <c:v>0.2475476748651759</c:v>
                </c:pt>
                <c:pt idx="40">
                  <c:v>0.25389505114377015</c:v>
                </c:pt>
                <c:pt idx="41">
                  <c:v>0.26024242742236442</c:v>
                </c:pt>
                <c:pt idx="42">
                  <c:v>0.26658980370095869</c:v>
                </c:pt>
                <c:pt idx="43">
                  <c:v>0.27293717997955291</c:v>
                </c:pt>
                <c:pt idx="44">
                  <c:v>0.27928455625814719</c:v>
                </c:pt>
                <c:pt idx="45">
                  <c:v>0.28563193253674146</c:v>
                </c:pt>
                <c:pt idx="46">
                  <c:v>0.29197930881533568</c:v>
                </c:pt>
                <c:pt idx="47">
                  <c:v>0.29832668509392996</c:v>
                </c:pt>
                <c:pt idx="48">
                  <c:v>0.30467406137252423</c:v>
                </c:pt>
                <c:pt idx="49">
                  <c:v>0.31102143765111845</c:v>
                </c:pt>
                <c:pt idx="50">
                  <c:v>0.31736881392971272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DDF-4F72-B525-FEBDD51C728B}"/>
            </c:ext>
          </c:extLst>
        </c:ser>
        <c:ser>
          <c:idx val="1"/>
          <c:order val="1"/>
          <c:tx>
            <c:v>Initial solution UC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UCVC!$B$4:$B$53</c:f>
              <c:numCache>
                <c:formatCode>General</c:formatCode>
                <c:ptCount val="5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6.0000000000000005E-2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9.9999999999999992E-2</c:v>
                </c:pt>
                <c:pt idx="10">
                  <c:v>0.10999999999999999</c:v>
                </c:pt>
                <c:pt idx="11">
                  <c:v>0.11999999999999998</c:v>
                </c:pt>
                <c:pt idx="12">
                  <c:v>0.12999999999999998</c:v>
                </c:pt>
                <c:pt idx="13">
                  <c:v>0.13999999999999999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0.18000000000000002</c:v>
                </c:pt>
                <c:pt idx="18">
                  <c:v>0.19000000000000003</c:v>
                </c:pt>
                <c:pt idx="19">
                  <c:v>0.20000000000000004</c:v>
                </c:pt>
                <c:pt idx="20">
                  <c:v>0.21000000000000005</c:v>
                </c:pt>
                <c:pt idx="21">
                  <c:v>0.22000000000000006</c:v>
                </c:pt>
                <c:pt idx="22">
                  <c:v>0.23000000000000007</c:v>
                </c:pt>
                <c:pt idx="23">
                  <c:v>0.24000000000000007</c:v>
                </c:pt>
                <c:pt idx="24">
                  <c:v>0.25000000000000006</c:v>
                </c:pt>
                <c:pt idx="25">
                  <c:v>0.26000000000000006</c:v>
                </c:pt>
                <c:pt idx="26">
                  <c:v>0.27000000000000007</c:v>
                </c:pt>
                <c:pt idx="27">
                  <c:v>0.28000000000000008</c:v>
                </c:pt>
                <c:pt idx="28">
                  <c:v>0.29000000000000009</c:v>
                </c:pt>
                <c:pt idx="29">
                  <c:v>0.3000000000000001</c:v>
                </c:pt>
                <c:pt idx="30">
                  <c:v>0.31000000000000011</c:v>
                </c:pt>
                <c:pt idx="31">
                  <c:v>0.32000000000000012</c:v>
                </c:pt>
                <c:pt idx="32">
                  <c:v>0.33000000000000013</c:v>
                </c:pt>
                <c:pt idx="33">
                  <c:v>0.34000000000000014</c:v>
                </c:pt>
                <c:pt idx="34">
                  <c:v>0.35000000000000014</c:v>
                </c:pt>
                <c:pt idx="35">
                  <c:v>0.36000000000000015</c:v>
                </c:pt>
                <c:pt idx="36">
                  <c:v>0.37000000000000016</c:v>
                </c:pt>
                <c:pt idx="37">
                  <c:v>0.38000000000000017</c:v>
                </c:pt>
                <c:pt idx="38">
                  <c:v>0.39000000000000018</c:v>
                </c:pt>
                <c:pt idx="39">
                  <c:v>0.40000000000000019</c:v>
                </c:pt>
                <c:pt idx="40">
                  <c:v>0.4100000000000002</c:v>
                </c:pt>
                <c:pt idx="41">
                  <c:v>0.42000000000000021</c:v>
                </c:pt>
                <c:pt idx="42">
                  <c:v>0.43000000000000022</c:v>
                </c:pt>
                <c:pt idx="43">
                  <c:v>0.44000000000000022</c:v>
                </c:pt>
                <c:pt idx="44">
                  <c:v>0.45000000000000023</c:v>
                </c:pt>
                <c:pt idx="45">
                  <c:v>0.46000000000000024</c:v>
                </c:pt>
                <c:pt idx="46">
                  <c:v>0.47000000000000025</c:v>
                </c:pt>
                <c:pt idx="47">
                  <c:v>0.48000000000000026</c:v>
                </c:pt>
                <c:pt idx="48">
                  <c:v>0.49000000000000027</c:v>
                </c:pt>
                <c:pt idx="49">
                  <c:v>0.50000000000000022</c:v>
                </c:pt>
              </c:numCache>
            </c:numRef>
          </c:xVal>
          <c:yVal>
            <c:numRef>
              <c:f>UCVC!$F$4:$F$53</c:f>
              <c:numCache>
                <c:formatCode>General</c:formatCode>
                <c:ptCount val="50"/>
                <c:pt idx="0">
                  <c:v>0.21118534922499982</c:v>
                </c:pt>
                <c:pt idx="1">
                  <c:v>0.10347026293015499</c:v>
                </c:pt>
                <c:pt idx="2">
                  <c:v>6.7579599049689604E-2</c:v>
                </c:pt>
                <c:pt idx="3">
                  <c:v>4.9645040772819053E-2</c:v>
                </c:pt>
                <c:pt idx="4">
                  <c:v>3.8892924737386467E-2</c:v>
                </c:pt>
                <c:pt idx="5">
                  <c:v>3.1732029822672828E-2</c:v>
                </c:pt>
                <c:pt idx="6">
                  <c:v>2.6623261262655757E-2</c:v>
                </c:pt>
                <c:pt idx="7">
                  <c:v>2.2797071674324033E-2</c:v>
                </c:pt>
                <c:pt idx="8">
                  <c:v>1.9825934733782538E-2</c:v>
                </c:pt>
                <c:pt idx="9">
                  <c:v>1.7453334646694206E-2</c:v>
                </c:pt>
                <c:pt idx="10">
                  <c:v>1.5516034089389988E-2</c:v>
                </c:pt>
                <c:pt idx="11">
                  <c:v>1.3905208179423862E-2</c:v>
                </c:pt>
                <c:pt idx="12">
                  <c:v>1.2545516613563956E-2</c:v>
                </c:pt>
                <c:pt idx="13">
                  <c:v>1.1383144889501793E-2</c:v>
                </c:pt>
                <c:pt idx="14">
                  <c:v>1.0378629038877827E-2</c:v>
                </c:pt>
                <c:pt idx="15">
                  <c:v>9.5023710854223974E-3</c:v>
                </c:pt>
                <c:pt idx="16">
                  <c:v>8.731737282576351E-3</c:v>
                </c:pt>
                <c:pt idx="17">
                  <c:v>8.0491236052381201E-3</c:v>
                </c:pt>
                <c:pt idx="18">
                  <c:v>7.4406321388538425E-3</c:v>
                </c:pt>
                <c:pt idx="19">
                  <c:v>6.8951445517804223E-3</c:v>
                </c:pt>
                <c:pt idx="20">
                  <c:v>6.4036602898305981E-3</c:v>
                </c:pt>
                <c:pt idx="21">
                  <c:v>5.9588152632147843E-3</c:v>
                </c:pt>
                <c:pt idx="22">
                  <c:v>5.5545260934111579E-3</c:v>
                </c:pt>
                <c:pt idx="23">
                  <c:v>5.1857232983181928E-3</c:v>
                </c:pt>
                <c:pt idx="24">
                  <c:v>4.8481485129706105E-3</c:v>
                </c:pt>
                <c:pt idx="25">
                  <c:v>4.5381985054747109E-3</c:v>
                </c:pt>
                <c:pt idx="26">
                  <c:v>4.2528038560691985E-3</c:v>
                </c:pt>
                <c:pt idx="27">
                  <c:v>3.9893336335301019E-3</c:v>
                </c:pt>
                <c:pt idx="28">
                  <c:v>3.7455197936988268E-3</c:v>
                </c:pt>
                <c:pt idx="29">
                  <c:v>3.5193966983045905E-3</c:v>
                </c:pt>
                <c:pt idx="30">
                  <c:v>3.3092523398212288E-3</c:v>
                </c:pt>
                <c:pt idx="31">
                  <c:v>3.1135887116633468E-3</c:v>
                </c:pt>
                <c:pt idx="32">
                  <c:v>2.9310893838013553E-3</c:v>
                </c:pt>
                <c:pt idx="33">
                  <c:v>2.7605928003267932E-3</c:v>
                </c:pt>
                <c:pt idx="34">
                  <c:v>2.6010701545778818E-3</c:v>
                </c:pt>
                <c:pt idx="35">
                  <c:v>2.4516069517441495E-3</c:v>
                </c:pt>
                <c:pt idx="36">
                  <c:v>2.3113875613189599E-3</c:v>
                </c:pt>
                <c:pt idx="37">
                  <c:v>2.1796822086384816E-3</c:v>
                </c:pt>
                <c:pt idx="38">
                  <c:v>2.0558359677223513E-3</c:v>
                </c:pt>
                <c:pt idx="39">
                  <c:v>1.9392594051882426E-3</c:v>
                </c:pt>
                <c:pt idx="40">
                  <c:v>1.8294205933496678E-3</c:v>
                </c:pt>
                <c:pt idx="41">
                  <c:v>1.7258382642998012E-3</c:v>
                </c:pt>
                <c:pt idx="42">
                  <c:v>1.6280759192394314E-3</c:v>
                </c:pt>
                <c:pt idx="43">
                  <c:v>1.5357367410783658E-3</c:v>
                </c:pt>
                <c:pt idx="44">
                  <c:v>1.4484591853566504E-3</c:v>
                </c:pt>
                <c:pt idx="45">
                  <c:v>1.3659131462630228E-3</c:v>
                </c:pt>
                <c:pt idx="46">
                  <c:v>1.2877966120978187E-3</c:v>
                </c:pt>
                <c:pt idx="47">
                  <c:v>1.2138327388030109E-3</c:v>
                </c:pt>
                <c:pt idx="48">
                  <c:v>1.1437672818355141E-3</c:v>
                </c:pt>
                <c:pt idx="49">
                  <c:v>1.07736633621569E-3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DDF-4F72-B525-FEBDD51C728B}"/>
            </c:ext>
          </c:extLst>
        </c:ser>
        <c:ser>
          <c:idx val="4"/>
          <c:order val="2"/>
          <c:tx>
            <c:v>Comparative analysis VC</c:v>
          </c:tx>
          <c:spPr>
            <a:ln w="22225" cap="rnd">
              <a:solidFill>
                <a:schemeClr val="accent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UCVC!$B$3:$B$53</c:f>
              <c:numCache>
                <c:formatCode>General</c:formatCode>
                <c:ptCount val="51"/>
                <c:pt idx="0">
                  <c:v>1.0000000000000001E-5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</c:numCache>
            </c:numRef>
          </c:xVal>
          <c:yVal>
            <c:numRef>
              <c:f>UCVC!$I$3:$I$53</c:f>
              <c:numCache>
                <c:formatCode>General</c:formatCode>
                <c:ptCount val="51"/>
                <c:pt idx="0">
                  <c:v>6.3473762785942513E-6</c:v>
                </c:pt>
                <c:pt idx="1">
                  <c:v>6.347376278594251E-3</c:v>
                </c:pt>
                <c:pt idx="2">
                  <c:v>1.2694752557188502E-2</c:v>
                </c:pt>
                <c:pt idx="3">
                  <c:v>1.9042128835782754E-2</c:v>
                </c:pt>
                <c:pt idx="4">
                  <c:v>2.5389505114377004E-2</c:v>
                </c:pt>
                <c:pt idx="5">
                  <c:v>3.1736881392971254E-2</c:v>
                </c:pt>
                <c:pt idx="6">
                  <c:v>3.8084257671565508E-2</c:v>
                </c:pt>
                <c:pt idx="7">
                  <c:v>4.4431633950159762E-2</c:v>
                </c:pt>
                <c:pt idx="8">
                  <c:v>5.0779010228754008E-2</c:v>
                </c:pt>
                <c:pt idx="9">
                  <c:v>5.7126386507348255E-2</c:v>
                </c:pt>
                <c:pt idx="10">
                  <c:v>6.3473762785942509E-2</c:v>
                </c:pt>
                <c:pt idx="11">
                  <c:v>6.9821139064536755E-2</c:v>
                </c:pt>
                <c:pt idx="12">
                  <c:v>7.6168515343131002E-2</c:v>
                </c:pt>
                <c:pt idx="13">
                  <c:v>8.2515891621725249E-2</c:v>
                </c:pt>
                <c:pt idx="14">
                  <c:v>8.8863267900319509E-2</c:v>
                </c:pt>
                <c:pt idx="15">
                  <c:v>9.521064417891377E-2</c:v>
                </c:pt>
                <c:pt idx="16">
                  <c:v>0.10155802045750802</c:v>
                </c:pt>
                <c:pt idx="17">
                  <c:v>0.10790539673610228</c:v>
                </c:pt>
                <c:pt idx="18">
                  <c:v>0.11425277301469654</c:v>
                </c:pt>
                <c:pt idx="19">
                  <c:v>0.12060014929329078</c:v>
                </c:pt>
                <c:pt idx="20">
                  <c:v>0.12694752557188504</c:v>
                </c:pt>
                <c:pt idx="21">
                  <c:v>0.13329490185047929</c:v>
                </c:pt>
                <c:pt idx="22">
                  <c:v>0.13964227812907357</c:v>
                </c:pt>
                <c:pt idx="23">
                  <c:v>0.14598965440766781</c:v>
                </c:pt>
                <c:pt idx="24">
                  <c:v>0.15233703068626209</c:v>
                </c:pt>
                <c:pt idx="25">
                  <c:v>0.15868440696485631</c:v>
                </c:pt>
                <c:pt idx="26">
                  <c:v>0.16503178324345058</c:v>
                </c:pt>
                <c:pt idx="27">
                  <c:v>0.17137915952204483</c:v>
                </c:pt>
                <c:pt idx="28">
                  <c:v>0.17772653580063907</c:v>
                </c:pt>
                <c:pt idx="29">
                  <c:v>0.18407391207923335</c:v>
                </c:pt>
                <c:pt idx="30">
                  <c:v>0.19042128835782759</c:v>
                </c:pt>
                <c:pt idx="31">
                  <c:v>0.19676866463642184</c:v>
                </c:pt>
                <c:pt idx="32">
                  <c:v>0.20311604091501612</c:v>
                </c:pt>
                <c:pt idx="33">
                  <c:v>0.20946341719361036</c:v>
                </c:pt>
                <c:pt idx="34">
                  <c:v>0.21581079347220464</c:v>
                </c:pt>
                <c:pt idx="35">
                  <c:v>0.22215816975079888</c:v>
                </c:pt>
                <c:pt idx="36">
                  <c:v>0.22850554602939313</c:v>
                </c:pt>
                <c:pt idx="37">
                  <c:v>0.23485292230798741</c:v>
                </c:pt>
                <c:pt idx="38">
                  <c:v>0.24120029858658165</c:v>
                </c:pt>
                <c:pt idx="39">
                  <c:v>0.2475476748651759</c:v>
                </c:pt>
                <c:pt idx="40">
                  <c:v>0.25389505114377015</c:v>
                </c:pt>
                <c:pt idx="41">
                  <c:v>0.26024242742236442</c:v>
                </c:pt>
                <c:pt idx="42">
                  <c:v>0.26658980370095869</c:v>
                </c:pt>
                <c:pt idx="43">
                  <c:v>0.27293717997955291</c:v>
                </c:pt>
                <c:pt idx="44">
                  <c:v>0.27928455625814719</c:v>
                </c:pt>
                <c:pt idx="45">
                  <c:v>0.28563193253674146</c:v>
                </c:pt>
                <c:pt idx="46">
                  <c:v>0.29197930881533568</c:v>
                </c:pt>
                <c:pt idx="47">
                  <c:v>0.29832668509392996</c:v>
                </c:pt>
                <c:pt idx="48">
                  <c:v>0.30467406137252423</c:v>
                </c:pt>
                <c:pt idx="49">
                  <c:v>0.31102143765111845</c:v>
                </c:pt>
                <c:pt idx="50">
                  <c:v>0.31736881392971272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04E-43F8-8444-3A62014B44C2}"/>
            </c:ext>
          </c:extLst>
        </c:ser>
        <c:ser>
          <c:idx val="5"/>
          <c:order val="3"/>
          <c:tx>
            <c:v>Comparative analysis UC</c:v>
          </c:tx>
          <c:spPr>
            <a:ln w="2222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UCVC!$B$4:$B$53</c:f>
              <c:numCache>
                <c:formatCode>General</c:formatCode>
                <c:ptCount val="5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6.0000000000000005E-2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9.9999999999999992E-2</c:v>
                </c:pt>
                <c:pt idx="10">
                  <c:v>0.10999999999999999</c:v>
                </c:pt>
                <c:pt idx="11">
                  <c:v>0.11999999999999998</c:v>
                </c:pt>
                <c:pt idx="12">
                  <c:v>0.12999999999999998</c:v>
                </c:pt>
                <c:pt idx="13">
                  <c:v>0.13999999999999999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0.18000000000000002</c:v>
                </c:pt>
                <c:pt idx="18">
                  <c:v>0.19000000000000003</c:v>
                </c:pt>
                <c:pt idx="19">
                  <c:v>0.20000000000000004</c:v>
                </c:pt>
                <c:pt idx="20">
                  <c:v>0.21000000000000005</c:v>
                </c:pt>
                <c:pt idx="21">
                  <c:v>0.22000000000000006</c:v>
                </c:pt>
                <c:pt idx="22">
                  <c:v>0.23000000000000007</c:v>
                </c:pt>
                <c:pt idx="23">
                  <c:v>0.24000000000000007</c:v>
                </c:pt>
                <c:pt idx="24">
                  <c:v>0.25000000000000006</c:v>
                </c:pt>
                <c:pt idx="25">
                  <c:v>0.26000000000000006</c:v>
                </c:pt>
                <c:pt idx="26">
                  <c:v>0.27000000000000007</c:v>
                </c:pt>
                <c:pt idx="27">
                  <c:v>0.28000000000000008</c:v>
                </c:pt>
                <c:pt idx="28">
                  <c:v>0.29000000000000009</c:v>
                </c:pt>
                <c:pt idx="29">
                  <c:v>0.3000000000000001</c:v>
                </c:pt>
                <c:pt idx="30">
                  <c:v>0.31000000000000011</c:v>
                </c:pt>
                <c:pt idx="31">
                  <c:v>0.32000000000000012</c:v>
                </c:pt>
                <c:pt idx="32">
                  <c:v>0.33000000000000013</c:v>
                </c:pt>
                <c:pt idx="33">
                  <c:v>0.34000000000000014</c:v>
                </c:pt>
                <c:pt idx="34">
                  <c:v>0.35000000000000014</c:v>
                </c:pt>
                <c:pt idx="35">
                  <c:v>0.36000000000000015</c:v>
                </c:pt>
                <c:pt idx="36">
                  <c:v>0.37000000000000016</c:v>
                </c:pt>
                <c:pt idx="37">
                  <c:v>0.38000000000000017</c:v>
                </c:pt>
                <c:pt idx="38">
                  <c:v>0.39000000000000018</c:v>
                </c:pt>
                <c:pt idx="39">
                  <c:v>0.40000000000000019</c:v>
                </c:pt>
                <c:pt idx="40">
                  <c:v>0.4100000000000002</c:v>
                </c:pt>
                <c:pt idx="41">
                  <c:v>0.42000000000000021</c:v>
                </c:pt>
                <c:pt idx="42">
                  <c:v>0.43000000000000022</c:v>
                </c:pt>
                <c:pt idx="43">
                  <c:v>0.44000000000000022</c:v>
                </c:pt>
                <c:pt idx="44">
                  <c:v>0.45000000000000023</c:v>
                </c:pt>
                <c:pt idx="45">
                  <c:v>0.46000000000000024</c:v>
                </c:pt>
                <c:pt idx="46">
                  <c:v>0.47000000000000025</c:v>
                </c:pt>
                <c:pt idx="47">
                  <c:v>0.48000000000000026</c:v>
                </c:pt>
                <c:pt idx="48">
                  <c:v>0.49000000000000027</c:v>
                </c:pt>
                <c:pt idx="49">
                  <c:v>0.50000000000000022</c:v>
                </c:pt>
              </c:numCache>
            </c:numRef>
          </c:xVal>
          <c:yVal>
            <c:numRef>
              <c:f>UCVC!$J$4:$J$53</c:f>
              <c:numCache>
                <c:formatCode>General</c:formatCode>
                <c:ptCount val="50"/>
                <c:pt idx="0">
                  <c:v>0.21118534922499982</c:v>
                </c:pt>
                <c:pt idx="1">
                  <c:v>0.10347026293015499</c:v>
                </c:pt>
                <c:pt idx="2">
                  <c:v>6.7579599049689604E-2</c:v>
                </c:pt>
                <c:pt idx="3">
                  <c:v>4.9645040772819053E-2</c:v>
                </c:pt>
                <c:pt idx="4">
                  <c:v>3.8892924737386467E-2</c:v>
                </c:pt>
                <c:pt idx="5">
                  <c:v>3.1732029822672828E-2</c:v>
                </c:pt>
                <c:pt idx="6">
                  <c:v>2.6623261262655757E-2</c:v>
                </c:pt>
                <c:pt idx="7">
                  <c:v>2.2797071674324033E-2</c:v>
                </c:pt>
                <c:pt idx="8">
                  <c:v>1.9825934733782538E-2</c:v>
                </c:pt>
                <c:pt idx="9">
                  <c:v>1.7453334646694206E-2</c:v>
                </c:pt>
                <c:pt idx="10">
                  <c:v>1.5516034089389988E-2</c:v>
                </c:pt>
                <c:pt idx="11">
                  <c:v>1.3905208179423862E-2</c:v>
                </c:pt>
                <c:pt idx="12">
                  <c:v>1.2545516613563956E-2</c:v>
                </c:pt>
                <c:pt idx="13">
                  <c:v>1.1383144889501793E-2</c:v>
                </c:pt>
                <c:pt idx="14">
                  <c:v>1.0378629038877827E-2</c:v>
                </c:pt>
                <c:pt idx="15">
                  <c:v>9.5023710854223974E-3</c:v>
                </c:pt>
                <c:pt idx="16">
                  <c:v>8.731737282576351E-3</c:v>
                </c:pt>
                <c:pt idx="17">
                  <c:v>8.0491236052381201E-3</c:v>
                </c:pt>
                <c:pt idx="18">
                  <c:v>7.4406321388538425E-3</c:v>
                </c:pt>
                <c:pt idx="19">
                  <c:v>6.8951445517804223E-3</c:v>
                </c:pt>
                <c:pt idx="20">
                  <c:v>6.4036602898305981E-3</c:v>
                </c:pt>
                <c:pt idx="21">
                  <c:v>5.9588152632147843E-3</c:v>
                </c:pt>
                <c:pt idx="22">
                  <c:v>5.5545260934111579E-3</c:v>
                </c:pt>
                <c:pt idx="23">
                  <c:v>5.1857232983181928E-3</c:v>
                </c:pt>
                <c:pt idx="24">
                  <c:v>4.8481485129706105E-3</c:v>
                </c:pt>
                <c:pt idx="25">
                  <c:v>4.5381985054747109E-3</c:v>
                </c:pt>
                <c:pt idx="26">
                  <c:v>4.2528038560691985E-3</c:v>
                </c:pt>
                <c:pt idx="27">
                  <c:v>3.9893336335301019E-3</c:v>
                </c:pt>
                <c:pt idx="28">
                  <c:v>3.7455197936988268E-3</c:v>
                </c:pt>
                <c:pt idx="29">
                  <c:v>3.5193966983045905E-3</c:v>
                </c:pt>
                <c:pt idx="30">
                  <c:v>3.3092523398212288E-3</c:v>
                </c:pt>
                <c:pt idx="31">
                  <c:v>3.1135887116633468E-3</c:v>
                </c:pt>
                <c:pt idx="32">
                  <c:v>2.9310893838013553E-3</c:v>
                </c:pt>
                <c:pt idx="33">
                  <c:v>2.7605928003267932E-3</c:v>
                </c:pt>
                <c:pt idx="34">
                  <c:v>2.6010701545778818E-3</c:v>
                </c:pt>
                <c:pt idx="35">
                  <c:v>2.4516069517441495E-3</c:v>
                </c:pt>
                <c:pt idx="36">
                  <c:v>2.3113875613189599E-3</c:v>
                </c:pt>
                <c:pt idx="37">
                  <c:v>2.1796822086384816E-3</c:v>
                </c:pt>
                <c:pt idx="38">
                  <c:v>2.0558359677223513E-3</c:v>
                </c:pt>
                <c:pt idx="39">
                  <c:v>1.9392594051882426E-3</c:v>
                </c:pt>
                <c:pt idx="40">
                  <c:v>1.8294205933496678E-3</c:v>
                </c:pt>
                <c:pt idx="41">
                  <c:v>1.7258382642998012E-3</c:v>
                </c:pt>
                <c:pt idx="42">
                  <c:v>1.6280759192394314E-3</c:v>
                </c:pt>
                <c:pt idx="43">
                  <c:v>1.5357367410783658E-3</c:v>
                </c:pt>
                <c:pt idx="44">
                  <c:v>1.4484591853566504E-3</c:v>
                </c:pt>
                <c:pt idx="45">
                  <c:v>1.3659131462630228E-3</c:v>
                </c:pt>
                <c:pt idx="46">
                  <c:v>1.2877966120978187E-3</c:v>
                </c:pt>
                <c:pt idx="47">
                  <c:v>1.2138327388030109E-3</c:v>
                </c:pt>
                <c:pt idx="48">
                  <c:v>1.1437672818355141E-3</c:v>
                </c:pt>
                <c:pt idx="49">
                  <c:v>1.07736633621569E-3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04E-43F8-8444-3A62014B4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67840"/>
        <c:axId val="49268416"/>
      </c:scatterChart>
      <c:valAx>
        <c:axId val="49267840"/>
        <c:scaling>
          <c:orientation val="minMax"/>
          <c:max val="0.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400" b="1"/>
                  <a:t>Unemployment</a:t>
                </a:r>
                <a:r>
                  <a:rPr lang="es-ES" sz="1400" b="1" baseline="0"/>
                  <a:t> rate (</a:t>
                </a:r>
                <a:r>
                  <a:rPr lang="es-ES" sz="1400" b="1"/>
                  <a:t>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268416"/>
        <c:crosses val="autoZero"/>
        <c:crossBetween val="midCat"/>
      </c:valAx>
      <c:valAx>
        <c:axId val="49268416"/>
        <c:scaling>
          <c:orientation val="minMax"/>
          <c:max val="0.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Vancancy rate 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267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023090174010694"/>
          <c:y val="0.2378581278760129"/>
          <c:w val="0.26100473172382482"/>
          <c:h val="0.26400807570287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data!$H$31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data!$G$32:$G$55</c:f>
              <c:numCache>
                <c:formatCode>0.0%</c:formatCode>
                <c:ptCount val="24"/>
                <c:pt idx="0">
                  <c:v>5.6865647783268351E-2</c:v>
                </c:pt>
                <c:pt idx="1">
                  <c:v>5.8381356338694096E-2</c:v>
                </c:pt>
                <c:pt idx="2">
                  <c:v>5.7000040860244343E-2</c:v>
                </c:pt>
                <c:pt idx="3">
                  <c:v>5.2584290915969167E-2</c:v>
                </c:pt>
                <c:pt idx="4">
                  <c:v>4.7026242560613524E-2</c:v>
                </c:pt>
                <c:pt idx="5">
                  <c:v>4.6466071148722768E-2</c:v>
                </c:pt>
                <c:pt idx="6">
                  <c:v>4.9882191051712613E-2</c:v>
                </c:pt>
                <c:pt idx="7">
                  <c:v>7.8192075740872835E-2</c:v>
                </c:pt>
                <c:pt idx="8">
                  <c:v>9.8029762059888975E-2</c:v>
                </c:pt>
                <c:pt idx="9">
                  <c:v>9.1431069468821569E-2</c:v>
                </c:pt>
                <c:pt idx="10">
                  <c:v>8.289232483271905E-2</c:v>
                </c:pt>
                <c:pt idx="11">
                  <c:v>8.0063943298472676E-2</c:v>
                </c:pt>
                <c:pt idx="12">
                  <c:v>6.5670219887738815E-2</c:v>
                </c:pt>
                <c:pt idx="13">
                  <c:v>5.6581544927720814E-2</c:v>
                </c:pt>
                <c:pt idx="14">
                  <c:v>4.8186757644680313E-2</c:v>
                </c:pt>
                <c:pt idx="15">
                  <c:v>4.678611702794136E-2</c:v>
                </c:pt>
                <c:pt idx="16">
                  <c:v>4.0325888362727914E-2</c:v>
                </c:pt>
                <c:pt idx="17">
                  <c:v>3.9733189332482419E-2</c:v>
                </c:pt>
                <c:pt idx="18">
                  <c:v>3.5704508538299151E-2</c:v>
                </c:pt>
                <c:pt idx="19">
                  <c:v>6.3939833091799514E-2</c:v>
                </c:pt>
                <c:pt idx="20">
                  <c:v>3.9797832875992346E-2</c:v>
                </c:pt>
                <c:pt idx="21">
                  <c:v>3.4627991612638888E-2</c:v>
                </c:pt>
                <c:pt idx="22">
                  <c:v>3.6745767573608062E-2</c:v>
                </c:pt>
                <c:pt idx="23">
                  <c:v>4.0112683315372724E-2</c:v>
                </c:pt>
              </c:numCache>
            </c:numRef>
          </c:xVal>
          <c:yVal>
            <c:numRef>
              <c:f>data!$H$32:$H$55</c:f>
              <c:numCache>
                <c:formatCode>0.0%</c:formatCode>
                <c:ptCount val="24"/>
                <c:pt idx="0">
                  <c:v>2.570838806530306E-2</c:v>
                </c:pt>
                <c:pt idx="1">
                  <c:v>2.3578667507212017E-2</c:v>
                </c:pt>
                <c:pt idx="2">
                  <c:v>2.3317579439125047E-2</c:v>
                </c:pt>
                <c:pt idx="3">
                  <c:v>2.5697667348965406E-2</c:v>
                </c:pt>
                <c:pt idx="4">
                  <c:v>2.9271572556486079E-2</c:v>
                </c:pt>
                <c:pt idx="5">
                  <c:v>3.1101447004126835E-2</c:v>
                </c:pt>
                <c:pt idx="6">
                  <c:v>3.0013695695916606E-2</c:v>
                </c:pt>
                <c:pt idx="7">
                  <c:v>1.7755009402762468E-2</c:v>
                </c:pt>
                <c:pt idx="8">
                  <c:v>1.848401136274791E-2</c:v>
                </c:pt>
                <c:pt idx="9">
                  <c:v>2.0252768117549572E-2</c:v>
                </c:pt>
                <c:pt idx="10">
                  <c:v>2.5320473374314197E-2</c:v>
                </c:pt>
                <c:pt idx="11">
                  <c:v>2.5185698785976131E-2</c:v>
                </c:pt>
                <c:pt idx="12">
                  <c:v>2.6565477110046861E-2</c:v>
                </c:pt>
                <c:pt idx="13">
                  <c:v>3.4031713685283065E-2</c:v>
                </c:pt>
                <c:pt idx="14">
                  <c:v>3.7983320697498102E-2</c:v>
                </c:pt>
                <c:pt idx="15">
                  <c:v>3.5189825836361356E-2</c:v>
                </c:pt>
                <c:pt idx="16">
                  <c:v>4.1146202319251278E-2</c:v>
                </c:pt>
                <c:pt idx="17">
                  <c:v>4.6035272026607427E-2</c:v>
                </c:pt>
                <c:pt idx="18">
                  <c:v>4.3339396630915517E-2</c:v>
                </c:pt>
                <c:pt idx="19">
                  <c:v>4.5000249862575586E-2</c:v>
                </c:pt>
                <c:pt idx="20">
                  <c:v>6.8680596723034712E-2</c:v>
                </c:pt>
                <c:pt idx="21">
                  <c:v>6.2622014412764215E-2</c:v>
                </c:pt>
                <c:pt idx="22">
                  <c:v>5.0603864012573281E-2</c:v>
                </c:pt>
                <c:pt idx="23">
                  <c:v>4.5459869746521109E-2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7A-4448-AF12-7F6C53CBB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8034240"/>
        <c:axId val="1718029440"/>
      </c:scatterChart>
      <c:valAx>
        <c:axId val="1718034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200"/>
                  <a:t>Unemployment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8029440"/>
        <c:crosses val="autoZero"/>
        <c:crossBetween val="midCat"/>
      </c:valAx>
      <c:valAx>
        <c:axId val="171802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200"/>
                  <a:t>Vacancy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8034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H$5" horiz="1" inc="5" max="50" min="20" page="10" val="35"/>
</file>

<file path=xl/ctrlProps/ctrlProp2.xml><?xml version="1.0" encoding="utf-8"?>
<formControlPr xmlns="http://schemas.microsoft.com/office/spreadsheetml/2009/9/main" objectType="Scroll" dx="22" fmlaLink="$H$7" horiz="1" inc="3" max="21" min="3" page="10" val="12"/>
</file>

<file path=xl/ctrlProps/ctrlProp3.xml><?xml version="1.0" encoding="utf-8"?>
<formControlPr xmlns="http://schemas.microsoft.com/office/spreadsheetml/2009/9/main" objectType="Scroll" dx="22" fmlaLink="$H$9" horiz="1" inc="5" max="115" min="85" page="10" val="100"/>
</file>

<file path=xl/ctrlProps/ctrlProp4.xml><?xml version="1.0" encoding="utf-8"?>
<formControlPr xmlns="http://schemas.microsoft.com/office/spreadsheetml/2009/9/main" objectType="Scroll" dx="22" fmlaLink="$H$11" horiz="1" inc="5" max="51" min="31" page="10" val="41"/>
</file>

<file path=xl/ctrlProps/ctrlProp5.xml><?xml version="1.0" encoding="utf-8"?>
<formControlPr xmlns="http://schemas.microsoft.com/office/spreadsheetml/2009/9/main" objectType="Scroll" dx="22" fmlaLink="$H$13" horiz="1" inc="50" max="979" min="679" page="10" val="879"/>
</file>

<file path=xl/ctrlProps/ctrlProp6.xml><?xml version="1.0" encoding="utf-8"?>
<formControlPr xmlns="http://schemas.microsoft.com/office/spreadsheetml/2009/9/main" objectType="Scroll" dx="22" fmlaLink="$H$15" horiz="1" inc="100" max="954" min="554" page="10" val="75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209551</xdr:colOff>
      <xdr:row>0</xdr:row>
      <xdr:rowOff>147636</xdr:rowOff>
    </xdr:from>
    <xdr:to>
      <xdr:col>17</xdr:col>
      <xdr:colOff>304800</xdr:colOff>
      <xdr:row>29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4</xdr:row>
          <xdr:rowOff>175260</xdr:rowOff>
        </xdr:from>
        <xdr:to>
          <xdr:col>6</xdr:col>
          <xdr:colOff>586740</xdr:colOff>
          <xdr:row>6</xdr:row>
          <xdr:rowOff>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6</xdr:row>
          <xdr:rowOff>175260</xdr:rowOff>
        </xdr:from>
        <xdr:to>
          <xdr:col>6</xdr:col>
          <xdr:colOff>571500</xdr:colOff>
          <xdr:row>8</xdr:row>
          <xdr:rowOff>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8</xdr:row>
          <xdr:rowOff>175260</xdr:rowOff>
        </xdr:from>
        <xdr:to>
          <xdr:col>6</xdr:col>
          <xdr:colOff>579120</xdr:colOff>
          <xdr:row>10</xdr:row>
          <xdr:rowOff>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10</xdr:row>
          <xdr:rowOff>175260</xdr:rowOff>
        </xdr:from>
        <xdr:to>
          <xdr:col>6</xdr:col>
          <xdr:colOff>571500</xdr:colOff>
          <xdr:row>12</xdr:row>
          <xdr:rowOff>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7620</xdr:rowOff>
        </xdr:from>
        <xdr:to>
          <xdr:col>7</xdr:col>
          <xdr:colOff>15240</xdr:colOff>
          <xdr:row>13</xdr:row>
          <xdr:rowOff>175260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15</xdr:row>
          <xdr:rowOff>0</xdr:rowOff>
        </xdr:from>
        <xdr:to>
          <xdr:col>7</xdr:col>
          <xdr:colOff>15240</xdr:colOff>
          <xdr:row>15</xdr:row>
          <xdr:rowOff>167640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14</xdr:row>
      <xdr:rowOff>22860</xdr:rowOff>
    </xdr:from>
    <xdr:to>
      <xdr:col>17</xdr:col>
      <xdr:colOff>160020</xdr:colOff>
      <xdr:row>36</xdr:row>
      <xdr:rowOff>175260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red.stlouisfed.org/series/JTSTSL" TargetMode="External"/><Relationship Id="rId2" Type="http://schemas.openxmlformats.org/officeDocument/2006/relationships/hyperlink" Target="https://fred.stlouisfed.org/series/JTSJOL" TargetMode="External"/><Relationship Id="rId1" Type="http://schemas.openxmlformats.org/officeDocument/2006/relationships/hyperlink" Target="https://fred.stlouisfed.org/series/JTSHIL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fred.stlouisfed.org/series/UNEMPLOY" TargetMode="External"/><Relationship Id="rId4" Type="http://schemas.openxmlformats.org/officeDocument/2006/relationships/hyperlink" Target="https://fred.stlouisfed.org/series/CE16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0"/>
  <sheetViews>
    <sheetView tabSelected="1" zoomScale="90" zoomScaleNormal="90" workbookViewId="0"/>
  </sheetViews>
  <sheetFormatPr baseColWidth="10" defaultColWidth="9.109375" defaultRowHeight="14.4" x14ac:dyDescent="0.3"/>
  <cols>
    <col min="1" max="1" width="3.109375" customWidth="1"/>
    <col min="2" max="2" width="36" customWidth="1"/>
    <col min="3" max="3" width="9.88671875" customWidth="1"/>
    <col min="4" max="4" width="4.88671875" customWidth="1"/>
    <col min="5" max="5" width="0" hidden="1" customWidth="1"/>
    <col min="6" max="6" width="36" customWidth="1"/>
    <col min="7" max="7" width="8.6640625" customWidth="1"/>
    <col min="9" max="9" width="26" customWidth="1"/>
  </cols>
  <sheetData>
    <row r="1" spans="1:28" ht="15" thickBot="1" x14ac:dyDescent="0.35">
      <c r="A1" s="3"/>
      <c r="B1" s="3"/>
      <c r="C1" s="3"/>
      <c r="D1" s="3"/>
      <c r="E1" s="3"/>
      <c r="F1" s="21"/>
      <c r="G1" s="2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6.2" thickBot="1" x14ac:dyDescent="0.35">
      <c r="A2" s="3"/>
      <c r="B2" s="30" t="s">
        <v>16</v>
      </c>
      <c r="C2" s="31"/>
      <c r="D2" s="3"/>
      <c r="E2" s="3"/>
      <c r="F2" s="30" t="s">
        <v>17</v>
      </c>
      <c r="G2" s="3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3">
      <c r="A3" s="3"/>
      <c r="B3" s="4"/>
      <c r="C3" s="5"/>
      <c r="D3" s="3"/>
      <c r="E3" s="3"/>
      <c r="F3" s="4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3">
      <c r="A4" s="3"/>
      <c r="B4" s="2" t="s">
        <v>18</v>
      </c>
      <c r="C4" s="5"/>
      <c r="D4" s="3"/>
      <c r="E4" s="3"/>
      <c r="F4" s="2" t="s">
        <v>18</v>
      </c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3">
      <c r="A5" s="3"/>
      <c r="B5" s="6" t="s">
        <v>0</v>
      </c>
      <c r="C5" s="9">
        <v>3.5000000000000003E-2</v>
      </c>
      <c r="D5" s="3"/>
      <c r="E5" s="3"/>
      <c r="F5" s="25" t="s">
        <v>0</v>
      </c>
      <c r="G5" s="26">
        <f>+H5/1000</f>
        <v>3.5000000000000003E-2</v>
      </c>
      <c r="H5" s="3">
        <v>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3">
      <c r="A6" s="3"/>
      <c r="B6" s="4" t="s">
        <v>1</v>
      </c>
      <c r="C6" s="9">
        <v>0.12</v>
      </c>
      <c r="D6" s="3"/>
      <c r="E6" s="3"/>
      <c r="F6" s="25"/>
      <c r="G6" s="26"/>
      <c r="H6" s="3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3">
      <c r="A7" s="3"/>
      <c r="B7" s="6" t="s">
        <v>29</v>
      </c>
      <c r="C7" s="9">
        <v>1</v>
      </c>
      <c r="D7" s="3"/>
      <c r="E7" s="3"/>
      <c r="F7" s="25" t="s">
        <v>1</v>
      </c>
      <c r="G7" s="26">
        <f>+H7/100</f>
        <v>0.12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3">
      <c r="A8" s="3"/>
      <c r="B8" s="6" t="s">
        <v>24</v>
      </c>
      <c r="C8" s="9">
        <v>0.41</v>
      </c>
      <c r="D8" s="3"/>
      <c r="E8" s="3"/>
      <c r="F8" s="25"/>
      <c r="G8" s="2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3">
      <c r="A9" s="3"/>
      <c r="B9" s="6" t="s">
        <v>25</v>
      </c>
      <c r="C9" s="9">
        <v>0.879</v>
      </c>
      <c r="D9" s="3"/>
      <c r="E9" s="3"/>
      <c r="F9" s="25" t="s">
        <v>29</v>
      </c>
      <c r="G9" s="26">
        <f>+H9/100</f>
        <v>1</v>
      </c>
      <c r="H9" s="3">
        <v>100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/>
      <c r="B10" s="8" t="s">
        <v>26</v>
      </c>
      <c r="C10" s="9">
        <v>0.754</v>
      </c>
      <c r="D10" s="3"/>
      <c r="E10" s="3"/>
      <c r="F10" s="25"/>
      <c r="G10" s="2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3">
      <c r="A11" s="3"/>
      <c r="B11" s="2" t="s">
        <v>19</v>
      </c>
      <c r="C11" s="10"/>
      <c r="D11" s="3"/>
      <c r="E11" s="3"/>
      <c r="F11" s="25" t="s">
        <v>24</v>
      </c>
      <c r="G11" s="26">
        <f>+H11/100</f>
        <v>0.41</v>
      </c>
      <c r="H11" s="3">
        <v>41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3">
      <c r="A12" s="3"/>
      <c r="B12" s="6" t="s">
        <v>3</v>
      </c>
      <c r="C12" s="9">
        <v>5.5056120494765333E-2</v>
      </c>
      <c r="D12" s="3"/>
      <c r="E12" s="3"/>
      <c r="F12" s="25"/>
      <c r="G12" s="2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3">
      <c r="A13" s="3"/>
      <c r="B13" s="6" t="s">
        <v>4</v>
      </c>
      <c r="C13" s="9">
        <v>3.4946164387359063E-2</v>
      </c>
      <c r="D13" s="3"/>
      <c r="E13" s="3"/>
      <c r="F13" s="25" t="s">
        <v>25</v>
      </c>
      <c r="G13" s="26">
        <f>+H13/1000</f>
        <v>0.879</v>
      </c>
      <c r="H13" s="3">
        <v>879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3">
      <c r="A14" s="3"/>
      <c r="B14" s="6" t="s">
        <v>2</v>
      </c>
      <c r="C14" s="9">
        <v>0.60071498149704383</v>
      </c>
      <c r="D14" s="3"/>
      <c r="E14" s="3"/>
      <c r="F14" s="25"/>
      <c r="G14" s="2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3">
      <c r="A15" s="3"/>
      <c r="B15" s="6" t="s">
        <v>5</v>
      </c>
      <c r="C15" s="9">
        <v>0.9463989263834568</v>
      </c>
      <c r="D15" s="3"/>
      <c r="E15" s="3"/>
      <c r="F15" s="8" t="s">
        <v>26</v>
      </c>
      <c r="G15" s="27">
        <f>+H15/1000</f>
        <v>0.754</v>
      </c>
      <c r="H15" s="3">
        <v>754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3">
      <c r="A16" s="3"/>
      <c r="B16" s="6" t="s">
        <v>7</v>
      </c>
      <c r="C16" s="9">
        <v>0.6347376288495602</v>
      </c>
      <c r="D16" s="3"/>
      <c r="E16" s="3"/>
      <c r="F16" s="25"/>
      <c r="G16" s="2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3">
      <c r="A17" s="3"/>
      <c r="B17" s="6" t="s">
        <v>6</v>
      </c>
      <c r="C17" s="9">
        <v>0.99556212509104303</v>
      </c>
      <c r="D17" s="3"/>
      <c r="E17" s="3"/>
      <c r="F17" s="28" t="s">
        <v>19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3">
      <c r="A18" s="3"/>
      <c r="B18" s="2" t="s">
        <v>20</v>
      </c>
      <c r="C18" s="10"/>
      <c r="D18" s="3"/>
      <c r="E18" s="3"/>
      <c r="F18" s="6" t="s">
        <v>3</v>
      </c>
      <c r="G18" s="9">
        <v>5.5056118132978407E-2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3">
      <c r="A19" s="3"/>
      <c r="B19" s="6" t="s">
        <v>27</v>
      </c>
      <c r="C19" s="9">
        <f>-C12+C5/(C5+C14)</f>
        <v>-9.7784191854799474E-10</v>
      </c>
      <c r="D19" s="3"/>
      <c r="E19" s="3"/>
      <c r="F19" s="6" t="s">
        <v>4</v>
      </c>
      <c r="G19" s="9">
        <v>3.4946192659146703E-2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3">
      <c r="A20" s="3"/>
      <c r="B20" s="6" t="s">
        <v>28</v>
      </c>
      <c r="C20" s="9">
        <f>C7-C17-C6*C5/C15</f>
        <v>5.2050946885984217E-11</v>
      </c>
      <c r="D20" s="3"/>
      <c r="E20" s="3"/>
      <c r="F20" s="6" t="s">
        <v>2</v>
      </c>
      <c r="G20" s="9">
        <v>0.6007149889140081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3">
      <c r="A21" s="3"/>
      <c r="B21" s="6" t="s">
        <v>68</v>
      </c>
      <c r="C21" s="9">
        <f>-C14+C10*(C16)^0.5</f>
        <v>7.3312994564034284E-9</v>
      </c>
      <c r="D21" s="3"/>
      <c r="E21" s="3"/>
      <c r="F21" s="6" t="s">
        <v>5</v>
      </c>
      <c r="G21" s="9">
        <v>0.94639889340370398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3">
      <c r="A22" s="3"/>
      <c r="B22" s="6" t="s">
        <v>70</v>
      </c>
      <c r="C22" s="9">
        <f>-C15+C10*(C16)^(-0.5)</f>
        <v>-3.4108678215183375E-8</v>
      </c>
      <c r="D22" s="3"/>
      <c r="E22" s="3"/>
      <c r="F22" s="6" t="s">
        <v>7</v>
      </c>
      <c r="G22" s="9">
        <v>0.63473762987087989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3">
      <c r="A23" s="3"/>
      <c r="B23" s="6" t="s">
        <v>23</v>
      </c>
      <c r="C23" s="9">
        <f>-C16+C13/C12</f>
        <v>-4.9021150994033036E-7</v>
      </c>
      <c r="D23" s="3"/>
      <c r="E23" s="3"/>
      <c r="F23" s="6" t="s">
        <v>6</v>
      </c>
      <c r="G23" s="9">
        <v>0.99556212519878018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3">
      <c r="A24" s="3"/>
      <c r="B24" s="6" t="s">
        <v>71</v>
      </c>
      <c r="C24" s="9">
        <f>C7*C9+C9*C6*C16+(1-C9)*C8-C17</f>
        <v>8.659739592076221E-15</v>
      </c>
      <c r="D24" s="3"/>
      <c r="E24" s="3"/>
      <c r="F24" s="2" t="s">
        <v>20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3">
      <c r="A25" s="3"/>
      <c r="B25" s="1" t="s">
        <v>21</v>
      </c>
      <c r="C25" s="10"/>
      <c r="D25" s="3"/>
      <c r="E25" s="3"/>
      <c r="F25" s="6" t="s">
        <v>27</v>
      </c>
      <c r="G25" s="9">
        <f>-G18+G5/(G5+G20)</f>
        <v>7.4159854646094203E-10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" thickBot="1" x14ac:dyDescent="0.35">
      <c r="A26" s="3"/>
      <c r="B26" s="7" t="s">
        <v>69</v>
      </c>
      <c r="C26" s="9">
        <f>C19^2+C20^2+C21^2+C22^2+C23^2+C24^2</f>
        <v>2.4152543324340377E-13</v>
      </c>
      <c r="D26" s="3"/>
      <c r="E26" s="3"/>
      <c r="F26" s="6" t="s">
        <v>28</v>
      </c>
      <c r="G26" s="9">
        <f>G9-G23-G7*G5/G21</f>
        <v>-2.1033560049926736E-10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3">
      <c r="A27" s="3"/>
      <c r="B27" s="3"/>
      <c r="C27" s="3"/>
      <c r="D27" s="3"/>
      <c r="E27" s="3"/>
      <c r="F27" s="6" t="s">
        <v>68</v>
      </c>
      <c r="G27" s="9">
        <f>-G20+G15*(G22)^0.5</f>
        <v>3.9762304560042594E-10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3">
      <c r="A28" s="3"/>
      <c r="B28" s="3"/>
      <c r="C28" s="3"/>
      <c r="D28" s="3"/>
      <c r="E28" s="3"/>
      <c r="F28" s="6" t="s">
        <v>70</v>
      </c>
      <c r="G28" s="9">
        <f>-G21+G15*(G22)^(-0.5)</f>
        <v>-1.8903233423017696E-9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3">
      <c r="A29" s="3"/>
      <c r="B29" s="3"/>
      <c r="C29" s="3"/>
      <c r="D29" s="3"/>
      <c r="E29" s="3"/>
      <c r="F29" s="6" t="s">
        <v>23</v>
      </c>
      <c r="G29" s="9">
        <f>-G22+G19/G18</f>
        <v>4.9504558452539982E-8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3">
      <c r="A30" s="3"/>
      <c r="B30" s="3"/>
      <c r="C30" s="3"/>
      <c r="D30" s="3"/>
      <c r="E30" s="3"/>
      <c r="F30" s="6" t="s">
        <v>71</v>
      </c>
      <c r="G30" s="9">
        <f>G9*G13+G13*G7*G22+(1-G13)*G11-G23</f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3">
      <c r="A31" s="3"/>
      <c r="B31" s="3"/>
      <c r="C31" s="3"/>
      <c r="D31" s="3"/>
      <c r="E31" s="3"/>
      <c r="F31" s="1" t="s">
        <v>21</v>
      </c>
      <c r="G31" s="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3">
      <c r="A32" s="3"/>
      <c r="B32" s="3"/>
      <c r="C32" s="3"/>
      <c r="D32" s="3"/>
      <c r="E32" s="3"/>
      <c r="F32" s="6" t="s">
        <v>69</v>
      </c>
      <c r="G32" s="9">
        <f>G25^2+G26^2+G27^2+G28^2+G29^2+G30^2</f>
        <v>2.4550269434747415E-15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idden="1" x14ac:dyDescent="0.3">
      <c r="A33" s="3"/>
      <c r="B33" s="3"/>
      <c r="C33" s="3"/>
      <c r="D33" s="3"/>
      <c r="E33" s="3"/>
      <c r="F33" s="6"/>
      <c r="G33" s="9"/>
      <c r="H33" s="3"/>
      <c r="I33" s="3" t="s">
        <v>11</v>
      </c>
      <c r="J33" s="3" t="s">
        <v>12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idden="1" x14ac:dyDescent="0.3">
      <c r="A34" s="3"/>
      <c r="B34" s="3"/>
      <c r="C34" s="3"/>
      <c r="D34" s="3"/>
      <c r="E34" s="3"/>
      <c r="F34" s="6"/>
      <c r="G34" s="9"/>
      <c r="H34" s="3"/>
      <c r="I34" s="3" t="s">
        <v>13</v>
      </c>
      <c r="J34" s="3" t="s">
        <v>12</v>
      </c>
      <c r="K34" s="3"/>
      <c r="L34" s="3"/>
      <c r="M34" s="3"/>
      <c r="N34" s="3" t="s">
        <v>12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idden="1" x14ac:dyDescent="0.3">
      <c r="A35" s="3"/>
      <c r="B35" s="3"/>
      <c r="C35" s="3"/>
      <c r="D35" s="3"/>
      <c r="E35" s="3"/>
      <c r="F35" s="6"/>
      <c r="G35" s="9"/>
      <c r="H35" s="3"/>
      <c r="I35" s="3" t="s">
        <v>14</v>
      </c>
      <c r="J35" s="3" t="s">
        <v>12</v>
      </c>
      <c r="K35" s="3"/>
      <c r="L35" s="3"/>
      <c r="M35" s="3"/>
      <c r="N35" s="3" t="s">
        <v>22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idden="1" x14ac:dyDescent="0.3">
      <c r="A36" s="3"/>
      <c r="B36" s="3"/>
      <c r="C36" s="3"/>
      <c r="D36" s="3"/>
      <c r="E36" s="3"/>
      <c r="F36" s="6"/>
      <c r="G36" s="9"/>
      <c r="H36" s="3"/>
      <c r="I36" s="3" t="s">
        <v>15</v>
      </c>
      <c r="J36" s="3" t="s">
        <v>12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idden="1" x14ac:dyDescent="0.3">
      <c r="A37" s="3"/>
      <c r="B37" s="3"/>
      <c r="C37" s="3"/>
      <c r="D37" s="3"/>
      <c r="E37" s="3"/>
      <c r="F37" s="6"/>
      <c r="G37" s="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idden="1" x14ac:dyDescent="0.3">
      <c r="A38" s="3"/>
      <c r="B38" s="3"/>
      <c r="C38" s="3"/>
      <c r="D38" s="3"/>
      <c r="E38" s="3"/>
      <c r="F38" s="6"/>
      <c r="G38" s="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idden="1" x14ac:dyDescent="0.3">
      <c r="A39" s="3"/>
      <c r="B39" s="3"/>
      <c r="C39" s="3"/>
      <c r="D39" s="3"/>
      <c r="E39" s="3"/>
      <c r="F39" s="6"/>
      <c r="G39" s="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idden="1" x14ac:dyDescent="0.3">
      <c r="A40" s="3"/>
      <c r="B40" s="3"/>
      <c r="C40" s="3"/>
      <c r="D40" s="3"/>
      <c r="E40" s="3"/>
      <c r="F40" s="6"/>
      <c r="G40" s="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1.4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8.4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9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9.6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3">
      <c r="A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3">
      <c r="A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3">
      <c r="A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3">
      <c r="F48" s="3"/>
      <c r="G48" s="3"/>
    </row>
    <row r="49" spans="6:7" x14ac:dyDescent="0.3">
      <c r="F49" s="3"/>
      <c r="G49" s="3"/>
    </row>
    <row r="50" spans="6:7" x14ac:dyDescent="0.3">
      <c r="F50" s="3"/>
      <c r="G50" s="3"/>
    </row>
  </sheetData>
  <mergeCells count="2">
    <mergeCell ref="B2:C2"/>
    <mergeCell ref="F2:G2"/>
  </mergeCells>
  <dataValidations disablePrompts="1" count="1">
    <dataValidation type="list" allowBlank="1" showInputMessage="1" showErrorMessage="1" sqref="J33:J36" xr:uid="{00000000-0002-0000-0400-000000000000}">
      <formula1>$N$34:$N$35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5</xdr:col>
                    <xdr:colOff>22860</xdr:colOff>
                    <xdr:row>4</xdr:row>
                    <xdr:rowOff>175260</xdr:rowOff>
                  </from>
                  <to>
                    <xdr:col>6</xdr:col>
                    <xdr:colOff>586740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5</xdr:col>
                    <xdr:colOff>7620</xdr:colOff>
                    <xdr:row>6</xdr:row>
                    <xdr:rowOff>175260</xdr:rowOff>
                  </from>
                  <to>
                    <xdr:col>6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5</xdr:col>
                    <xdr:colOff>15240</xdr:colOff>
                    <xdr:row>8</xdr:row>
                    <xdr:rowOff>175260</xdr:rowOff>
                  </from>
                  <to>
                    <xdr:col>6</xdr:col>
                    <xdr:colOff>579120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Scroll Bar 5">
              <controlPr defaultSize="0" autoPict="0">
                <anchor moveWithCells="1">
                  <from>
                    <xdr:col>5</xdr:col>
                    <xdr:colOff>7620</xdr:colOff>
                    <xdr:row>10</xdr:row>
                    <xdr:rowOff>175260</xdr:rowOff>
                  </from>
                  <to>
                    <xdr:col>6</xdr:col>
                    <xdr:colOff>571500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Scroll Bar 6">
              <controlPr defaultSize="0" autoPict="0">
                <anchor moveWithCells="1">
                  <from>
                    <xdr:col>5</xdr:col>
                    <xdr:colOff>7620</xdr:colOff>
                    <xdr:row>13</xdr:row>
                    <xdr:rowOff>7620</xdr:rowOff>
                  </from>
                  <to>
                    <xdr:col>7</xdr:col>
                    <xdr:colOff>15240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croll Bar 7">
              <controlPr defaultSize="0" autoPict="0">
                <anchor moveWithCells="1">
                  <from>
                    <xdr:col>5</xdr:col>
                    <xdr:colOff>7620</xdr:colOff>
                    <xdr:row>15</xdr:row>
                    <xdr:rowOff>0</xdr:rowOff>
                  </from>
                  <to>
                    <xdr:col>7</xdr:col>
                    <xdr:colOff>15240</xdr:colOff>
                    <xdr:row>15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3"/>
  <sheetViews>
    <sheetView topLeftCell="C1" workbookViewId="0">
      <selection activeCell="N13" sqref="N13"/>
    </sheetView>
  </sheetViews>
  <sheetFormatPr baseColWidth="10" defaultColWidth="9.109375" defaultRowHeight="14.4" x14ac:dyDescent="0.3"/>
  <cols>
    <col min="5" max="6" width="12" bestFit="1" customWidth="1"/>
    <col min="9" max="9" width="12" bestFit="1" customWidth="1"/>
    <col min="10" max="10" width="11" bestFit="1" customWidth="1"/>
  </cols>
  <sheetData>
    <row r="1" spans="1:10" x14ac:dyDescent="0.3">
      <c r="A1" t="s">
        <v>72</v>
      </c>
    </row>
    <row r="2" spans="1:10" x14ac:dyDescent="0.3">
      <c r="B2" t="s">
        <v>3</v>
      </c>
      <c r="C2" t="s">
        <v>66</v>
      </c>
      <c r="D2" t="s">
        <v>67</v>
      </c>
      <c r="E2" t="s">
        <v>8</v>
      </c>
      <c r="F2" t="s">
        <v>9</v>
      </c>
      <c r="G2" t="s">
        <v>66</v>
      </c>
      <c r="H2" t="s">
        <v>67</v>
      </c>
      <c r="I2" t="s">
        <v>8</v>
      </c>
      <c r="J2" t="s">
        <v>10</v>
      </c>
    </row>
    <row r="3" spans="1:10" x14ac:dyDescent="0.3">
      <c r="B3">
        <v>1.0000000000000001E-5</v>
      </c>
      <c r="C3">
        <f>+model!C$9*model!C$6/(1-model!C$9)</f>
        <v>0.87173553719008257</v>
      </c>
      <c r="D3">
        <f>+model!C$5*model!C$6/((1-model!C$9)*model!C$10)</f>
        <v>4.6035469232961403E-2</v>
      </c>
      <c r="E3">
        <f>IF(model!J$33="Sí",B3*((-D3+(D3^2+4*C3*(model!C$7-model!C$8))^0.5)/(2*C3))^2,NA())</f>
        <v>6.3473762785942513E-6</v>
      </c>
      <c r="F3">
        <f>IF(model!J$33="Sí",model!C$5^2*(1-B3)^2/(B3*model!C$10^2),NA())</f>
        <v>215.46895779934079</v>
      </c>
      <c r="G3">
        <f>+model!G$13*model!G$7/(1-model!G$13)</f>
        <v>0.87173553719008257</v>
      </c>
      <c r="H3">
        <f>+model!G$5*model!G$7/((1-model!G$13)*model!G$15)</f>
        <v>4.6035469232961403E-2</v>
      </c>
      <c r="I3">
        <f>IF(model!J$33="Sí",B3*((-H3+(H3^2+4*G3*(model!G$9-model!G$11))^0.5)/(2*G3))^2,NA())</f>
        <v>6.3473762785942513E-6</v>
      </c>
      <c r="J3">
        <f>IF(model!J$35="Sí",model!G$5^2*(1-B3)^2/(B3*model!G$15^2),NA())</f>
        <v>215.46895779934079</v>
      </c>
    </row>
    <row r="4" spans="1:10" x14ac:dyDescent="0.3">
      <c r="B4">
        <v>0.01</v>
      </c>
      <c r="C4">
        <f>+model!C$9*model!C$6/(1-model!C$9)</f>
        <v>0.87173553719008257</v>
      </c>
      <c r="D4">
        <f>+model!C$5*model!C$6/((1-model!C$9)*model!C$10)</f>
        <v>4.6035469232961403E-2</v>
      </c>
      <c r="E4">
        <f>IF(model!J$33="Sí",B4*((-D4+(D4^2+4*C4*(model!C$7-model!C$8))^0.5)/(2*C4))^2,NA())</f>
        <v>6.347376278594251E-3</v>
      </c>
      <c r="F4">
        <f>IF(model!J$33="Sí",model!C$5^2*(1-B4)^2/(B4*model!C$10^2),NA())</f>
        <v>0.21118534922499982</v>
      </c>
      <c r="G4">
        <f>+model!G$13*model!G$7/(1-model!G$13)</f>
        <v>0.87173553719008257</v>
      </c>
      <c r="H4">
        <f>+model!G$5*model!G$7/((1-model!G$13)*model!G$15)</f>
        <v>4.6035469232961403E-2</v>
      </c>
      <c r="I4">
        <f>IF(model!J$33="Sí",B4*((-H4+(H4^2+4*G4*(model!G$9-model!G$11))^0.5)/(2*G4))^2,NA())</f>
        <v>6.347376278594251E-3</v>
      </c>
      <c r="J4">
        <f>IF(model!J$35="Sí",model!G$5^2*(1-B4)^2/(B4*model!G$15^2),NA())</f>
        <v>0.21118534922499982</v>
      </c>
    </row>
    <row r="5" spans="1:10" x14ac:dyDescent="0.3">
      <c r="B5">
        <f>+B4+0.01</f>
        <v>0.02</v>
      </c>
      <c r="C5">
        <f>+model!C$9*model!C$6/(1-model!C$9)</f>
        <v>0.87173553719008257</v>
      </c>
      <c r="D5">
        <f>+model!C$5*model!C$6/((1-model!C$9)*model!C$10)</f>
        <v>4.6035469232961403E-2</v>
      </c>
      <c r="E5">
        <f>IF(model!J$33="Sí",B5*((-D5+(D5^2+4*C5*(model!C$7-model!C$8))^0.5)/(2*C5))^2,NA())</f>
        <v>1.2694752557188502E-2</v>
      </c>
      <c r="F5">
        <f>IF(model!J$33="Sí",model!C$5^2*(1-B5)^2/(B5*model!C$10^2),NA())</f>
        <v>0.10347026293015499</v>
      </c>
      <c r="G5">
        <f>+model!G$13*model!G$7/(1-model!G$13)</f>
        <v>0.87173553719008257</v>
      </c>
      <c r="H5">
        <f>+model!G$5*model!G$7/((1-model!G$13)*model!G$15)</f>
        <v>4.6035469232961403E-2</v>
      </c>
      <c r="I5">
        <f>IF(model!J$33="Sí",B5*((-H5+(H5^2+4*G5*(model!G$9-model!G$11))^0.5)/(2*G5))^2,NA())</f>
        <v>1.2694752557188502E-2</v>
      </c>
      <c r="J5">
        <f>IF(model!J$35="Sí",model!G$5^2*(1-B5)^2/(B5*model!G$15^2),NA())</f>
        <v>0.10347026293015499</v>
      </c>
    </row>
    <row r="6" spans="1:10" x14ac:dyDescent="0.3">
      <c r="B6">
        <f t="shared" ref="B6:B53" si="0">+B5+0.01</f>
        <v>0.03</v>
      </c>
      <c r="C6">
        <f>+model!C$9*model!C$6/(1-model!C$9)</f>
        <v>0.87173553719008257</v>
      </c>
      <c r="D6">
        <f>+model!C$5*model!C$6/((1-model!C$9)*model!C$10)</f>
        <v>4.6035469232961403E-2</v>
      </c>
      <c r="E6">
        <f>IF(model!J$33="Sí",B6*((-D6+(D6^2+4*C6*(model!C$7-model!C$8))^0.5)/(2*C6))^2,NA())</f>
        <v>1.9042128835782754E-2</v>
      </c>
      <c r="F6">
        <f>IF(model!J$33="Sí",model!C$5^2*(1-B6)^2/(B6*model!C$10^2),NA())</f>
        <v>6.7579599049689604E-2</v>
      </c>
      <c r="G6">
        <f>+model!G$13*model!G$7/(1-model!G$13)</f>
        <v>0.87173553719008257</v>
      </c>
      <c r="H6">
        <f>+model!G$5*model!G$7/((1-model!G$13)*model!G$15)</f>
        <v>4.6035469232961403E-2</v>
      </c>
      <c r="I6">
        <f>IF(model!J$33="Sí",B6*((-H6+(H6^2+4*G6*(model!G$9-model!G$11))^0.5)/(2*G6))^2,NA())</f>
        <v>1.9042128835782754E-2</v>
      </c>
      <c r="J6">
        <f>IF(model!J$35="Sí",model!G$5^2*(1-B6)^2/(B6*model!G$15^2),NA())</f>
        <v>6.7579599049689604E-2</v>
      </c>
    </row>
    <row r="7" spans="1:10" x14ac:dyDescent="0.3">
      <c r="B7">
        <f t="shared" si="0"/>
        <v>0.04</v>
      </c>
      <c r="C7">
        <f>+model!C$9*model!C$6/(1-model!C$9)</f>
        <v>0.87173553719008257</v>
      </c>
      <c r="D7">
        <f>+model!C$5*model!C$6/((1-model!C$9)*model!C$10)</f>
        <v>4.6035469232961403E-2</v>
      </c>
      <c r="E7">
        <f>IF(model!J$33="Sí",B7*((-D7+(D7^2+4*C7*(model!C$7-model!C$8))^0.5)/(2*C7))^2,NA())</f>
        <v>2.5389505114377004E-2</v>
      </c>
      <c r="F7">
        <f>IF(model!J$33="Sí",model!C$5^2*(1-B7)^2/(B7*model!C$10^2),NA())</f>
        <v>4.9645040772819053E-2</v>
      </c>
      <c r="G7">
        <f>+model!G$13*model!G$7/(1-model!G$13)</f>
        <v>0.87173553719008257</v>
      </c>
      <c r="H7">
        <f>+model!G$5*model!G$7/((1-model!G$13)*model!G$15)</f>
        <v>4.6035469232961403E-2</v>
      </c>
      <c r="I7">
        <f>IF(model!J$33="Sí",B7*((-H7+(H7^2+4*G7*(model!G$9-model!G$11))^0.5)/(2*G7))^2,NA())</f>
        <v>2.5389505114377004E-2</v>
      </c>
      <c r="J7">
        <f>IF(model!J$35="Sí",model!G$5^2*(1-B7)^2/(B7*model!G$15^2),NA())</f>
        <v>4.9645040772819053E-2</v>
      </c>
    </row>
    <row r="8" spans="1:10" x14ac:dyDescent="0.3">
      <c r="B8">
        <f t="shared" si="0"/>
        <v>0.05</v>
      </c>
      <c r="C8">
        <f>+model!C$9*model!C$6/(1-model!C$9)</f>
        <v>0.87173553719008257</v>
      </c>
      <c r="D8">
        <f>+model!C$5*model!C$6/((1-model!C$9)*model!C$10)</f>
        <v>4.6035469232961403E-2</v>
      </c>
      <c r="E8">
        <f>IF(model!J$33="Sí",B8*((-D8+(D8^2+4*C8*(model!C$7-model!C$8))^0.5)/(2*C8))^2,NA())</f>
        <v>3.1736881392971254E-2</v>
      </c>
      <c r="F8">
        <f>IF(model!J$33="Sí",model!C$5^2*(1-B8)^2/(B8*model!C$10^2),NA())</f>
        <v>3.8892924737386467E-2</v>
      </c>
      <c r="G8">
        <f>+model!G$13*model!G$7/(1-model!G$13)</f>
        <v>0.87173553719008257</v>
      </c>
      <c r="H8">
        <f>+model!G$5*model!G$7/((1-model!G$13)*model!G$15)</f>
        <v>4.6035469232961403E-2</v>
      </c>
      <c r="I8">
        <f>IF(model!J$33="Sí",B8*((-H8+(H8^2+4*G8*(model!G$9-model!G$11))^0.5)/(2*G8))^2,NA())</f>
        <v>3.1736881392971254E-2</v>
      </c>
      <c r="J8">
        <f>IF(model!J$35="Sí",model!G$5^2*(1-B8)^2/(B8*model!G$15^2),NA())</f>
        <v>3.8892924737386467E-2</v>
      </c>
    </row>
    <row r="9" spans="1:10" x14ac:dyDescent="0.3">
      <c r="B9">
        <f t="shared" si="0"/>
        <v>6.0000000000000005E-2</v>
      </c>
      <c r="C9">
        <f>+model!C$9*model!C$6/(1-model!C$9)</f>
        <v>0.87173553719008257</v>
      </c>
      <c r="D9">
        <f>+model!C$5*model!C$6/((1-model!C$9)*model!C$10)</f>
        <v>4.6035469232961403E-2</v>
      </c>
      <c r="E9">
        <f>IF(model!J$33="Sí",B9*((-D9+(D9^2+4*C9*(model!C$7-model!C$8))^0.5)/(2*C9))^2,NA())</f>
        <v>3.8084257671565508E-2</v>
      </c>
      <c r="F9">
        <f>IF(model!J$33="Sí",model!C$5^2*(1-B9)^2/(B9*model!C$10^2),NA())</f>
        <v>3.1732029822672828E-2</v>
      </c>
      <c r="G9">
        <f>+model!G$13*model!G$7/(1-model!G$13)</f>
        <v>0.87173553719008257</v>
      </c>
      <c r="H9">
        <f>+model!G$5*model!G$7/((1-model!G$13)*model!G$15)</f>
        <v>4.6035469232961403E-2</v>
      </c>
      <c r="I9">
        <f>IF(model!J$33="Sí",B9*((-H9+(H9^2+4*G9*(model!G$9-model!G$11))^0.5)/(2*G9))^2,NA())</f>
        <v>3.8084257671565508E-2</v>
      </c>
      <c r="J9">
        <f>IF(model!J$35="Sí",model!G$5^2*(1-B9)^2/(B9*model!G$15^2),NA())</f>
        <v>3.1732029822672828E-2</v>
      </c>
    </row>
    <row r="10" spans="1:10" x14ac:dyDescent="0.3">
      <c r="B10">
        <f t="shared" si="0"/>
        <v>7.0000000000000007E-2</v>
      </c>
      <c r="C10">
        <f>+model!C$9*model!C$6/(1-model!C$9)</f>
        <v>0.87173553719008257</v>
      </c>
      <c r="D10">
        <f>+model!C$5*model!C$6/((1-model!C$9)*model!C$10)</f>
        <v>4.6035469232961403E-2</v>
      </c>
      <c r="E10">
        <f>IF(model!J$33="Sí",B10*((-D10+(D10^2+4*C10*(model!C$7-model!C$8))^0.5)/(2*C10))^2,NA())</f>
        <v>4.4431633950159762E-2</v>
      </c>
      <c r="F10">
        <f>IF(model!J$33="Sí",model!C$5^2*(1-B10)^2/(B10*model!C$10^2),NA())</f>
        <v>2.6623261262655757E-2</v>
      </c>
      <c r="G10">
        <f>+model!G$13*model!G$7/(1-model!G$13)</f>
        <v>0.87173553719008257</v>
      </c>
      <c r="H10">
        <f>+model!G$5*model!G$7/((1-model!G$13)*model!G$15)</f>
        <v>4.6035469232961403E-2</v>
      </c>
      <c r="I10">
        <f>IF(model!J$33="Sí",B10*((-H10+(H10^2+4*G10*(model!G$9-model!G$11))^0.5)/(2*G10))^2,NA())</f>
        <v>4.4431633950159762E-2</v>
      </c>
      <c r="J10">
        <f>IF(model!J$35="Sí",model!G$5^2*(1-B10)^2/(B10*model!G$15^2),NA())</f>
        <v>2.6623261262655757E-2</v>
      </c>
    </row>
    <row r="11" spans="1:10" x14ac:dyDescent="0.3">
      <c r="B11">
        <f t="shared" si="0"/>
        <v>0.08</v>
      </c>
      <c r="C11">
        <f>+model!C$9*model!C$6/(1-model!C$9)</f>
        <v>0.87173553719008257</v>
      </c>
      <c r="D11">
        <f>+model!C$5*model!C$6/((1-model!C$9)*model!C$10)</f>
        <v>4.6035469232961403E-2</v>
      </c>
      <c r="E11">
        <f>IF(model!J$33="Sí",B11*((-D11+(D11^2+4*C11*(model!C$7-model!C$8))^0.5)/(2*C11))^2,NA())</f>
        <v>5.0779010228754008E-2</v>
      </c>
      <c r="F11">
        <f>IF(model!J$33="Sí",model!C$5^2*(1-B11)^2/(B11*model!C$10^2),NA())</f>
        <v>2.2797071674324033E-2</v>
      </c>
      <c r="G11">
        <f>+model!G$13*model!G$7/(1-model!G$13)</f>
        <v>0.87173553719008257</v>
      </c>
      <c r="H11">
        <f>+model!G$5*model!G$7/((1-model!G$13)*model!G$15)</f>
        <v>4.6035469232961403E-2</v>
      </c>
      <c r="I11">
        <f>IF(model!J$33="Sí",B11*((-H11+(H11^2+4*G11*(model!G$9-model!G$11))^0.5)/(2*G11))^2,NA())</f>
        <v>5.0779010228754008E-2</v>
      </c>
      <c r="J11">
        <f>IF(model!J$35="Sí",model!G$5^2*(1-B11)^2/(B11*model!G$15^2),NA())</f>
        <v>2.2797071674324033E-2</v>
      </c>
    </row>
    <row r="12" spans="1:10" x14ac:dyDescent="0.3">
      <c r="B12">
        <f t="shared" si="0"/>
        <v>0.09</v>
      </c>
      <c r="C12">
        <f>+model!C$9*model!C$6/(1-model!C$9)</f>
        <v>0.87173553719008257</v>
      </c>
      <c r="D12">
        <f>+model!C$5*model!C$6/((1-model!C$9)*model!C$10)</f>
        <v>4.6035469232961403E-2</v>
      </c>
      <c r="E12">
        <f>IF(model!J$33="Sí",B12*((-D12+(D12^2+4*C12*(model!C$7-model!C$8))^0.5)/(2*C12))^2,NA())</f>
        <v>5.7126386507348255E-2</v>
      </c>
      <c r="F12">
        <f>IF(model!J$33="Sí",model!C$5^2*(1-B12)^2/(B12*model!C$10^2),NA())</f>
        <v>1.9825934733782538E-2</v>
      </c>
      <c r="G12">
        <f>+model!G$13*model!G$7/(1-model!G$13)</f>
        <v>0.87173553719008257</v>
      </c>
      <c r="H12">
        <f>+model!G$5*model!G$7/((1-model!G$13)*model!G$15)</f>
        <v>4.6035469232961403E-2</v>
      </c>
      <c r="I12">
        <f>IF(model!J$33="Sí",B12*((-H12+(H12^2+4*G12*(model!G$9-model!G$11))^0.5)/(2*G12))^2,NA())</f>
        <v>5.7126386507348255E-2</v>
      </c>
      <c r="J12">
        <f>IF(model!J$35="Sí",model!G$5^2*(1-B12)^2/(B12*model!G$15^2),NA())</f>
        <v>1.9825934733782538E-2</v>
      </c>
    </row>
    <row r="13" spans="1:10" x14ac:dyDescent="0.3">
      <c r="B13">
        <f t="shared" si="0"/>
        <v>9.9999999999999992E-2</v>
      </c>
      <c r="C13">
        <f>+model!C$9*model!C$6/(1-model!C$9)</f>
        <v>0.87173553719008257</v>
      </c>
      <c r="D13">
        <f>+model!C$5*model!C$6/((1-model!C$9)*model!C$10)</f>
        <v>4.6035469232961403E-2</v>
      </c>
      <c r="E13">
        <f>IF(model!J$33="Sí",B13*((-D13+(D13^2+4*C13*(model!C$7-model!C$8))^0.5)/(2*C13))^2,NA())</f>
        <v>6.3473762785942509E-2</v>
      </c>
      <c r="F13">
        <f>IF(model!J$33="Sí",model!C$5^2*(1-B13)^2/(B13*model!C$10^2),NA())</f>
        <v>1.7453334646694206E-2</v>
      </c>
      <c r="G13">
        <f>+model!G$13*model!G$7/(1-model!G$13)</f>
        <v>0.87173553719008257</v>
      </c>
      <c r="H13">
        <f>+model!G$5*model!G$7/((1-model!G$13)*model!G$15)</f>
        <v>4.6035469232961403E-2</v>
      </c>
      <c r="I13">
        <f>IF(model!J$33="Sí",B13*((-H13+(H13^2+4*G13*(model!G$9-model!G$11))^0.5)/(2*G13))^2,NA())</f>
        <v>6.3473762785942509E-2</v>
      </c>
      <c r="J13">
        <f>IF(model!J$35="Sí",model!G$5^2*(1-B13)^2/(B13*model!G$15^2),NA())</f>
        <v>1.7453334646694206E-2</v>
      </c>
    </row>
    <row r="14" spans="1:10" x14ac:dyDescent="0.3">
      <c r="B14">
        <f t="shared" si="0"/>
        <v>0.10999999999999999</v>
      </c>
      <c r="C14">
        <f>+model!C$9*model!C$6/(1-model!C$9)</f>
        <v>0.87173553719008257</v>
      </c>
      <c r="D14">
        <f>+model!C$5*model!C$6/((1-model!C$9)*model!C$10)</f>
        <v>4.6035469232961403E-2</v>
      </c>
      <c r="E14">
        <f>IF(model!J$33="Sí",B14*((-D14+(D14^2+4*C14*(model!C$7-model!C$8))^0.5)/(2*C14))^2,NA())</f>
        <v>6.9821139064536755E-2</v>
      </c>
      <c r="F14">
        <f>IF(model!J$33="Sí",model!C$5^2*(1-B14)^2/(B14*model!C$10^2),NA())</f>
        <v>1.5516034089389988E-2</v>
      </c>
      <c r="G14">
        <f>+model!G$13*model!G$7/(1-model!G$13)</f>
        <v>0.87173553719008257</v>
      </c>
      <c r="H14">
        <f>+model!G$5*model!G$7/((1-model!G$13)*model!G$15)</f>
        <v>4.6035469232961403E-2</v>
      </c>
      <c r="I14">
        <f>IF(model!J$33="Sí",B14*((-H14+(H14^2+4*G14*(model!G$9-model!G$11))^0.5)/(2*G14))^2,NA())</f>
        <v>6.9821139064536755E-2</v>
      </c>
      <c r="J14">
        <f>IF(model!J$35="Sí",model!G$5^2*(1-B14)^2/(B14*model!G$15^2),NA())</f>
        <v>1.5516034089389988E-2</v>
      </c>
    </row>
    <row r="15" spans="1:10" x14ac:dyDescent="0.3">
      <c r="B15">
        <f t="shared" si="0"/>
        <v>0.11999999999999998</v>
      </c>
      <c r="C15">
        <f>+model!C$9*model!C$6/(1-model!C$9)</f>
        <v>0.87173553719008257</v>
      </c>
      <c r="D15">
        <f>+model!C$5*model!C$6/((1-model!C$9)*model!C$10)</f>
        <v>4.6035469232961403E-2</v>
      </c>
      <c r="E15">
        <f>IF(model!J$33="Sí",B15*((-D15+(D15^2+4*C15*(model!C$7-model!C$8))^0.5)/(2*C15))^2,NA())</f>
        <v>7.6168515343131002E-2</v>
      </c>
      <c r="F15">
        <f>IF(model!J$33="Sí",model!C$5^2*(1-B15)^2/(B15*model!C$10^2),NA())</f>
        <v>1.3905208179423862E-2</v>
      </c>
      <c r="G15">
        <f>+model!G$13*model!G$7/(1-model!G$13)</f>
        <v>0.87173553719008257</v>
      </c>
      <c r="H15">
        <f>+model!G$5*model!G$7/((1-model!G$13)*model!G$15)</f>
        <v>4.6035469232961403E-2</v>
      </c>
      <c r="I15">
        <f>IF(model!J$33="Sí",B15*((-H15+(H15^2+4*G15*(model!G$9-model!G$11))^0.5)/(2*G15))^2,NA())</f>
        <v>7.6168515343131002E-2</v>
      </c>
      <c r="J15">
        <f>IF(model!J$35="Sí",model!G$5^2*(1-B15)^2/(B15*model!G$15^2),NA())</f>
        <v>1.3905208179423862E-2</v>
      </c>
    </row>
    <row r="16" spans="1:10" x14ac:dyDescent="0.3">
      <c r="B16">
        <f t="shared" si="0"/>
        <v>0.12999999999999998</v>
      </c>
      <c r="C16">
        <f>+model!C$9*model!C$6/(1-model!C$9)</f>
        <v>0.87173553719008257</v>
      </c>
      <c r="D16">
        <f>+model!C$5*model!C$6/((1-model!C$9)*model!C$10)</f>
        <v>4.6035469232961403E-2</v>
      </c>
      <c r="E16">
        <f>IF(model!J$33="Sí",B16*((-D16+(D16^2+4*C16*(model!C$7-model!C$8))^0.5)/(2*C16))^2,NA())</f>
        <v>8.2515891621725249E-2</v>
      </c>
      <c r="F16">
        <f>IF(model!J$33="Sí",model!C$5^2*(1-B16)^2/(B16*model!C$10^2),NA())</f>
        <v>1.2545516613563956E-2</v>
      </c>
      <c r="G16">
        <f>+model!G$13*model!G$7/(1-model!G$13)</f>
        <v>0.87173553719008257</v>
      </c>
      <c r="H16">
        <f>+model!G$5*model!G$7/((1-model!G$13)*model!G$15)</f>
        <v>4.6035469232961403E-2</v>
      </c>
      <c r="I16">
        <f>IF(model!J$33="Sí",B16*((-H16+(H16^2+4*G16*(model!G$9-model!G$11))^0.5)/(2*G16))^2,NA())</f>
        <v>8.2515891621725249E-2</v>
      </c>
      <c r="J16">
        <f>IF(model!J$35="Sí",model!G$5^2*(1-B16)^2/(B16*model!G$15^2),NA())</f>
        <v>1.2545516613563956E-2</v>
      </c>
    </row>
    <row r="17" spans="2:18" x14ac:dyDescent="0.3">
      <c r="B17">
        <f t="shared" si="0"/>
        <v>0.13999999999999999</v>
      </c>
      <c r="C17">
        <f>+model!C$9*model!C$6/(1-model!C$9)</f>
        <v>0.87173553719008257</v>
      </c>
      <c r="D17">
        <f>+model!C$5*model!C$6/((1-model!C$9)*model!C$10)</f>
        <v>4.6035469232961403E-2</v>
      </c>
      <c r="E17">
        <f>IF(model!J$33="Sí",B17*((-D17+(D17^2+4*C17*(model!C$7-model!C$8))^0.5)/(2*C17))^2,NA())</f>
        <v>8.8863267900319509E-2</v>
      </c>
      <c r="F17">
        <f>IF(model!J$33="Sí",model!C$5^2*(1-B17)^2/(B17*model!C$10^2),NA())</f>
        <v>1.1383144889501793E-2</v>
      </c>
      <c r="G17">
        <f>+model!G$13*model!G$7/(1-model!G$13)</f>
        <v>0.87173553719008257</v>
      </c>
      <c r="H17">
        <f>+model!G$5*model!G$7/((1-model!G$13)*model!G$15)</f>
        <v>4.6035469232961403E-2</v>
      </c>
      <c r="I17">
        <f>IF(model!J$33="Sí",B17*((-H17+(H17^2+4*G17*(model!G$9-model!G$11))^0.5)/(2*G17))^2,NA())</f>
        <v>8.8863267900319509E-2</v>
      </c>
      <c r="J17">
        <f>IF(model!J$35="Sí",model!G$5^2*(1-B17)^2/(B17*model!G$15^2),NA())</f>
        <v>1.1383144889501793E-2</v>
      </c>
    </row>
    <row r="18" spans="2:18" x14ac:dyDescent="0.3">
      <c r="B18">
        <f t="shared" si="0"/>
        <v>0.15</v>
      </c>
      <c r="C18">
        <f>+model!C$9*model!C$6/(1-model!C$9)</f>
        <v>0.87173553719008257</v>
      </c>
      <c r="D18">
        <f>+model!C$5*model!C$6/((1-model!C$9)*model!C$10)</f>
        <v>4.6035469232961403E-2</v>
      </c>
      <c r="E18">
        <f>IF(model!J$33="Sí",B18*((-D18+(D18^2+4*C18*(model!C$7-model!C$8))^0.5)/(2*C18))^2,NA())</f>
        <v>9.521064417891377E-2</v>
      </c>
      <c r="F18">
        <f>IF(model!J$33="Sí",model!C$5^2*(1-B18)^2/(B18*model!C$10^2),NA())</f>
        <v>1.0378629038877827E-2</v>
      </c>
      <c r="G18">
        <f>+model!G$13*model!G$7/(1-model!G$13)</f>
        <v>0.87173553719008257</v>
      </c>
      <c r="H18">
        <f>+model!G$5*model!G$7/((1-model!G$13)*model!G$15)</f>
        <v>4.6035469232961403E-2</v>
      </c>
      <c r="I18">
        <f>IF(model!J$33="Sí",B18*((-H18+(H18^2+4*G18*(model!G$9-model!G$11))^0.5)/(2*G18))^2,NA())</f>
        <v>9.521064417891377E-2</v>
      </c>
      <c r="J18">
        <f>IF(model!J$35="Sí",model!G$5^2*(1-B18)^2/(B18*model!G$15^2),NA())</f>
        <v>1.0378629038877827E-2</v>
      </c>
    </row>
    <row r="19" spans="2:18" x14ac:dyDescent="0.3">
      <c r="B19">
        <f t="shared" si="0"/>
        <v>0.16</v>
      </c>
      <c r="C19">
        <f>+model!C$9*model!C$6/(1-model!C$9)</f>
        <v>0.87173553719008257</v>
      </c>
      <c r="D19">
        <f>+model!C$5*model!C$6/((1-model!C$9)*model!C$10)</f>
        <v>4.6035469232961403E-2</v>
      </c>
      <c r="E19">
        <f>IF(model!J$33="Sí",B19*((-D19+(D19^2+4*C19*(model!C$7-model!C$8))^0.5)/(2*C19))^2,NA())</f>
        <v>0.10155802045750802</v>
      </c>
      <c r="F19">
        <f>IF(model!J$33="Sí",model!C$5^2*(1-B19)^2/(B19*model!C$10^2),NA())</f>
        <v>9.5023710854223974E-3</v>
      </c>
      <c r="G19">
        <f>+model!G$13*model!G$7/(1-model!G$13)</f>
        <v>0.87173553719008257</v>
      </c>
      <c r="H19">
        <f>+model!G$5*model!G$7/((1-model!G$13)*model!G$15)</f>
        <v>4.6035469232961403E-2</v>
      </c>
      <c r="I19">
        <f>IF(model!J$33="Sí",B19*((-H19+(H19^2+4*G19*(model!G$9-model!G$11))^0.5)/(2*G19))^2,NA())</f>
        <v>0.10155802045750802</v>
      </c>
      <c r="J19">
        <f>IF(model!J$35="Sí",model!G$5^2*(1-B19)^2/(B19*model!G$15^2),NA())</f>
        <v>9.5023710854223974E-3</v>
      </c>
    </row>
    <row r="20" spans="2:18" x14ac:dyDescent="0.3">
      <c r="B20">
        <f t="shared" si="0"/>
        <v>0.17</v>
      </c>
      <c r="C20">
        <f>+model!C$9*model!C$6/(1-model!C$9)</f>
        <v>0.87173553719008257</v>
      </c>
      <c r="D20">
        <f>+model!C$5*model!C$6/((1-model!C$9)*model!C$10)</f>
        <v>4.6035469232961403E-2</v>
      </c>
      <c r="E20">
        <f>IF(model!J$33="Sí",B20*((-D20+(D20^2+4*C20*(model!C$7-model!C$8))^0.5)/(2*C20))^2,NA())</f>
        <v>0.10790539673610228</v>
      </c>
      <c r="F20">
        <f>IF(model!J$33="Sí",model!C$5^2*(1-B20)^2/(B20*model!C$10^2),NA())</f>
        <v>8.731737282576351E-3</v>
      </c>
      <c r="G20">
        <f>+model!G$13*model!G$7/(1-model!G$13)</f>
        <v>0.87173553719008257</v>
      </c>
      <c r="H20">
        <f>+model!G$5*model!G$7/((1-model!G$13)*model!G$15)</f>
        <v>4.6035469232961403E-2</v>
      </c>
      <c r="I20">
        <f>IF(model!J$33="Sí",B20*((-H20+(H20^2+4*G20*(model!G$9-model!G$11))^0.5)/(2*G20))^2,NA())</f>
        <v>0.10790539673610228</v>
      </c>
      <c r="J20">
        <f>IF(model!J$35="Sí",model!G$5^2*(1-B20)^2/(B20*model!G$15^2),NA())</f>
        <v>8.731737282576351E-3</v>
      </c>
    </row>
    <row r="21" spans="2:18" x14ac:dyDescent="0.3">
      <c r="B21">
        <f t="shared" si="0"/>
        <v>0.18000000000000002</v>
      </c>
      <c r="C21">
        <f>+model!C$9*model!C$6/(1-model!C$9)</f>
        <v>0.87173553719008257</v>
      </c>
      <c r="D21">
        <f>+model!C$5*model!C$6/((1-model!C$9)*model!C$10)</f>
        <v>4.6035469232961403E-2</v>
      </c>
      <c r="E21">
        <f>IF(model!J$33="Sí",B21*((-D21+(D21^2+4*C21*(model!C$7-model!C$8))^0.5)/(2*C21))^2,NA())</f>
        <v>0.11425277301469654</v>
      </c>
      <c r="F21">
        <f>IF(model!J$33="Sí",model!C$5^2*(1-B21)^2/(B21*model!C$10^2),NA())</f>
        <v>8.0491236052381201E-3</v>
      </c>
      <c r="G21">
        <f>+model!G$13*model!G$7/(1-model!G$13)</f>
        <v>0.87173553719008257</v>
      </c>
      <c r="H21">
        <f>+model!G$5*model!G$7/((1-model!G$13)*model!G$15)</f>
        <v>4.6035469232961403E-2</v>
      </c>
      <c r="I21">
        <f>IF(model!J$33="Sí",B21*((-H21+(H21^2+4*G21*(model!G$9-model!G$11))^0.5)/(2*G21))^2,NA())</f>
        <v>0.11425277301469654</v>
      </c>
      <c r="J21">
        <f>IF(model!J$35="Sí",model!G$5^2*(1-B21)^2/(B21*model!G$15^2),NA())</f>
        <v>8.0491236052381201E-3</v>
      </c>
    </row>
    <row r="22" spans="2:18" x14ac:dyDescent="0.3">
      <c r="B22">
        <f t="shared" si="0"/>
        <v>0.19000000000000003</v>
      </c>
      <c r="C22">
        <f>+model!C$9*model!C$6/(1-model!C$9)</f>
        <v>0.87173553719008257</v>
      </c>
      <c r="D22">
        <f>+model!C$5*model!C$6/((1-model!C$9)*model!C$10)</f>
        <v>4.6035469232961403E-2</v>
      </c>
      <c r="E22">
        <f>IF(model!J$33="Sí",B22*((-D22+(D22^2+4*C22*(model!C$7-model!C$8))^0.5)/(2*C22))^2,NA())</f>
        <v>0.12060014929329078</v>
      </c>
      <c r="F22">
        <f>IF(model!J$33="Sí",model!C$5^2*(1-B22)^2/(B22*model!C$10^2),NA())</f>
        <v>7.4406321388538425E-3</v>
      </c>
      <c r="G22">
        <f>+model!G$13*model!G$7/(1-model!G$13)</f>
        <v>0.87173553719008257</v>
      </c>
      <c r="H22">
        <f>+model!G$5*model!G$7/((1-model!G$13)*model!G$15)</f>
        <v>4.6035469232961403E-2</v>
      </c>
      <c r="I22">
        <f>IF(model!J$33="Sí",B22*((-H22+(H22^2+4*G22*(model!G$9-model!G$11))^0.5)/(2*G22))^2,NA())</f>
        <v>0.12060014929329078</v>
      </c>
      <c r="J22">
        <f>IF(model!J$35="Sí",model!G$5^2*(1-B22)^2/(B22*model!G$15^2),NA())</f>
        <v>7.4406321388538425E-3</v>
      </c>
    </row>
    <row r="23" spans="2:18" x14ac:dyDescent="0.3">
      <c r="B23">
        <f t="shared" si="0"/>
        <v>0.20000000000000004</v>
      </c>
      <c r="C23">
        <f>+model!C$9*model!C$6/(1-model!C$9)</f>
        <v>0.87173553719008257</v>
      </c>
      <c r="D23">
        <f>+model!C$5*model!C$6/((1-model!C$9)*model!C$10)</f>
        <v>4.6035469232961403E-2</v>
      </c>
      <c r="E23">
        <f>IF(model!J$33="Sí",B23*((-D23+(D23^2+4*C23*(model!C$7-model!C$8))^0.5)/(2*C23))^2,NA())</f>
        <v>0.12694752557188504</v>
      </c>
      <c r="F23">
        <f>IF(model!J$33="Sí",model!C$5^2*(1-B23)^2/(B23*model!C$10^2),NA())</f>
        <v>6.8951445517804223E-3</v>
      </c>
      <c r="G23">
        <f>+model!G$13*model!G$7/(1-model!G$13)</f>
        <v>0.87173553719008257</v>
      </c>
      <c r="H23">
        <f>+model!G$5*model!G$7/((1-model!G$13)*model!G$15)</f>
        <v>4.6035469232961403E-2</v>
      </c>
      <c r="I23">
        <f>IF(model!J$33="Sí",B23*((-H23+(H23^2+4*G23*(model!G$9-model!G$11))^0.5)/(2*G23))^2,NA())</f>
        <v>0.12694752557188504</v>
      </c>
      <c r="J23">
        <f>IF(model!J$35="Sí",model!G$5^2*(1-B23)^2/(B23*model!G$15^2),NA())</f>
        <v>6.8951445517804223E-3</v>
      </c>
    </row>
    <row r="24" spans="2:18" x14ac:dyDescent="0.3">
      <c r="B24">
        <f t="shared" si="0"/>
        <v>0.21000000000000005</v>
      </c>
      <c r="C24">
        <f>+model!C$9*model!C$6/(1-model!C$9)</f>
        <v>0.87173553719008257</v>
      </c>
      <c r="D24">
        <f>+model!C$5*model!C$6/((1-model!C$9)*model!C$10)</f>
        <v>4.6035469232961403E-2</v>
      </c>
      <c r="E24">
        <f>IF(model!J$33="Sí",B24*((-D24+(D24^2+4*C24*(model!C$7-model!C$8))^0.5)/(2*C24))^2,NA())</f>
        <v>0.13329490185047929</v>
      </c>
      <c r="F24">
        <f>IF(model!J$33="Sí",model!C$5^2*(1-B24)^2/(B24*model!C$10^2),NA())</f>
        <v>6.4036602898305981E-3</v>
      </c>
      <c r="G24">
        <f>+model!G$13*model!G$7/(1-model!G$13)</f>
        <v>0.87173553719008257</v>
      </c>
      <c r="H24">
        <f>+model!G$5*model!G$7/((1-model!G$13)*model!G$15)</f>
        <v>4.6035469232961403E-2</v>
      </c>
      <c r="I24">
        <f>IF(model!J$33="Sí",B24*((-H24+(H24^2+4*G24*(model!G$9-model!G$11))^0.5)/(2*G24))^2,NA())</f>
        <v>0.13329490185047929</v>
      </c>
      <c r="J24">
        <f>IF(model!J$35="Sí",model!G$5^2*(1-B24)^2/(B24*model!G$15^2),NA())</f>
        <v>6.4036602898305981E-3</v>
      </c>
    </row>
    <row r="25" spans="2:18" x14ac:dyDescent="0.3">
      <c r="B25">
        <f t="shared" si="0"/>
        <v>0.22000000000000006</v>
      </c>
      <c r="C25">
        <f>+model!C$9*model!C$6/(1-model!C$9)</f>
        <v>0.87173553719008257</v>
      </c>
      <c r="D25">
        <f>+model!C$5*model!C$6/((1-model!C$9)*model!C$10)</f>
        <v>4.6035469232961403E-2</v>
      </c>
      <c r="E25">
        <f>IF(model!J$33="Sí",B25*((-D25+(D25^2+4*C25*(model!C$7-model!C$8))^0.5)/(2*C25))^2,NA())</f>
        <v>0.13964227812907357</v>
      </c>
      <c r="F25">
        <f>IF(model!J$33="Sí",model!C$5^2*(1-B25)^2/(B25*model!C$10^2),NA())</f>
        <v>5.9588152632147843E-3</v>
      </c>
      <c r="G25">
        <f>+model!G$13*model!G$7/(1-model!G$13)</f>
        <v>0.87173553719008257</v>
      </c>
      <c r="H25">
        <f>+model!G$5*model!G$7/((1-model!G$13)*model!G$15)</f>
        <v>4.6035469232961403E-2</v>
      </c>
      <c r="I25">
        <f>IF(model!J$33="Sí",B25*((-H25+(H25^2+4*G25*(model!G$9-model!G$11))^0.5)/(2*G25))^2,NA())</f>
        <v>0.13964227812907357</v>
      </c>
      <c r="J25">
        <f>IF(model!J$35="Sí",model!G$5^2*(1-B25)^2/(B25*model!G$15^2),NA())</f>
        <v>5.9588152632147843E-3</v>
      </c>
    </row>
    <row r="26" spans="2:18" x14ac:dyDescent="0.3">
      <c r="B26">
        <f t="shared" si="0"/>
        <v>0.23000000000000007</v>
      </c>
      <c r="C26">
        <f>+model!C$9*model!C$6/(1-model!C$9)</f>
        <v>0.87173553719008257</v>
      </c>
      <c r="D26">
        <f>+model!C$5*model!C$6/((1-model!C$9)*model!C$10)</f>
        <v>4.6035469232961403E-2</v>
      </c>
      <c r="E26">
        <f>IF(model!J$33="Sí",B26*((-D26+(D26^2+4*C26*(model!C$7-model!C$8))^0.5)/(2*C26))^2,NA())</f>
        <v>0.14598965440766781</v>
      </c>
      <c r="F26">
        <f>IF(model!J$33="Sí",model!C$5^2*(1-B26)^2/(B26*model!C$10^2),NA())</f>
        <v>5.5545260934111579E-3</v>
      </c>
      <c r="G26">
        <f>+model!G$13*model!G$7/(1-model!G$13)</f>
        <v>0.87173553719008257</v>
      </c>
      <c r="H26">
        <f>+model!G$5*model!G$7/((1-model!G$13)*model!G$15)</f>
        <v>4.6035469232961403E-2</v>
      </c>
      <c r="I26">
        <f>IF(model!J$33="Sí",B26*((-H26+(H26^2+4*G26*(model!G$9-model!G$11))^0.5)/(2*G26))^2,NA())</f>
        <v>0.14598965440766781</v>
      </c>
      <c r="J26">
        <f>IF(model!J$35="Sí",model!G$5^2*(1-B26)^2/(B26*model!G$15^2),NA())</f>
        <v>5.5545260934111579E-3</v>
      </c>
    </row>
    <row r="27" spans="2:18" x14ac:dyDescent="0.3">
      <c r="B27">
        <f t="shared" si="0"/>
        <v>0.24000000000000007</v>
      </c>
      <c r="C27">
        <f>+model!C$9*model!C$6/(1-model!C$9)</f>
        <v>0.87173553719008257</v>
      </c>
      <c r="D27">
        <f>+model!C$5*model!C$6/((1-model!C$9)*model!C$10)</f>
        <v>4.6035469232961403E-2</v>
      </c>
      <c r="E27">
        <f>IF(model!J$33="Sí",B27*((-D27+(D27^2+4*C27*(model!C$7-model!C$8))^0.5)/(2*C27))^2,NA())</f>
        <v>0.15233703068626209</v>
      </c>
      <c r="F27">
        <f>IF(model!J$33="Sí",model!C$5^2*(1-B27)^2/(B27*model!C$10^2),NA())</f>
        <v>5.1857232983181928E-3</v>
      </c>
      <c r="G27">
        <f>+model!G$13*model!G$7/(1-model!G$13)</f>
        <v>0.87173553719008257</v>
      </c>
      <c r="H27">
        <f>+model!G$5*model!G$7/((1-model!G$13)*model!G$15)</f>
        <v>4.6035469232961403E-2</v>
      </c>
      <c r="I27">
        <f>IF(model!J$33="Sí",B27*((-H27+(H27^2+4*G27*(model!G$9-model!G$11))^0.5)/(2*G27))^2,NA())</f>
        <v>0.15233703068626209</v>
      </c>
      <c r="J27">
        <f>IF(model!J$35="Sí",model!G$5^2*(1-B27)^2/(B27*model!G$15^2),NA())</f>
        <v>5.1857232983181928E-3</v>
      </c>
    </row>
    <row r="28" spans="2:18" x14ac:dyDescent="0.3">
      <c r="B28">
        <f t="shared" si="0"/>
        <v>0.25000000000000006</v>
      </c>
      <c r="C28">
        <f>+model!C$9*model!C$6/(1-model!C$9)</f>
        <v>0.87173553719008257</v>
      </c>
      <c r="D28">
        <f>+model!C$5*model!C$6/((1-model!C$9)*model!C$10)</f>
        <v>4.6035469232961403E-2</v>
      </c>
      <c r="E28">
        <f>IF(model!J$33="Sí",B28*((-D28+(D28^2+4*C28*(model!C$7-model!C$8))^0.5)/(2*C28))^2,NA())</f>
        <v>0.15868440696485631</v>
      </c>
      <c r="F28">
        <f>IF(model!J$33="Sí",model!C$5^2*(1-B28)^2/(B28*model!C$10^2),NA())</f>
        <v>4.8481485129706105E-3</v>
      </c>
      <c r="G28">
        <f>+model!G$13*model!G$7/(1-model!G$13)</f>
        <v>0.87173553719008257</v>
      </c>
      <c r="H28">
        <f>+model!G$5*model!G$7/((1-model!G$13)*model!G$15)</f>
        <v>4.6035469232961403E-2</v>
      </c>
      <c r="I28">
        <f>IF(model!J$33="Sí",B28*((-H28+(H28^2+4*G28*(model!G$9-model!G$11))^0.5)/(2*G28))^2,NA())</f>
        <v>0.15868440696485631</v>
      </c>
      <c r="J28">
        <f>IF(model!J$35="Sí",model!G$5^2*(1-B28)^2/(B28*model!G$15^2),NA())</f>
        <v>4.8481485129706105E-3</v>
      </c>
    </row>
    <row r="29" spans="2:18" ht="15" thickBot="1" x14ac:dyDescent="0.35">
      <c r="B29">
        <f t="shared" si="0"/>
        <v>0.26000000000000006</v>
      </c>
      <c r="C29">
        <f>+model!C$9*model!C$6/(1-model!C$9)</f>
        <v>0.87173553719008257</v>
      </c>
      <c r="D29">
        <f>+model!C$5*model!C$6/((1-model!C$9)*model!C$10)</f>
        <v>4.6035469232961403E-2</v>
      </c>
      <c r="E29">
        <f>IF(model!J$33="Sí",B29*((-D29+(D29^2+4*C29*(model!C$7-model!C$8))^0.5)/(2*C29))^2,NA())</f>
        <v>0.16503178324345058</v>
      </c>
      <c r="F29">
        <f>IF(model!J$33="Sí",model!C$5^2*(1-B29)^2/(B29*model!C$10^2),NA())</f>
        <v>4.5381985054747109E-3</v>
      </c>
      <c r="G29">
        <f>+model!G$13*model!G$7/(1-model!G$13)</f>
        <v>0.87173553719008257</v>
      </c>
      <c r="H29">
        <f>+model!G$5*model!G$7/((1-model!G$13)*model!G$15)</f>
        <v>4.6035469232961403E-2</v>
      </c>
      <c r="I29">
        <f>IF(model!J$33="Sí",B29*((-H29+(H29^2+4*G29*(model!G$9-model!G$11))^0.5)/(2*G29))^2,NA())</f>
        <v>0.16503178324345058</v>
      </c>
      <c r="J29">
        <f>IF(model!J$35="Sí",model!G$5^2*(1-B29)^2/(B29*model!G$15^2),NA())</f>
        <v>4.5381985054747109E-3</v>
      </c>
    </row>
    <row r="30" spans="2:18" ht="16.2" thickBot="1" x14ac:dyDescent="0.35">
      <c r="B30">
        <f t="shared" si="0"/>
        <v>0.27000000000000007</v>
      </c>
      <c r="C30">
        <f>+model!C$9*model!C$6/(1-model!C$9)</f>
        <v>0.87173553719008257</v>
      </c>
      <c r="D30">
        <f>+model!C$5*model!C$6/((1-model!C$9)*model!C$10)</f>
        <v>4.6035469232961403E-2</v>
      </c>
      <c r="E30">
        <f>IF(model!J$33="Sí",B30*((-D30+(D30^2+4*C30*(model!C$7-model!C$8))^0.5)/(2*C30))^2,NA())</f>
        <v>0.17137915952204483</v>
      </c>
      <c r="F30">
        <f>IF(model!J$33="Sí",model!C$5^2*(1-B30)^2/(B30*model!C$10^2),NA())</f>
        <v>4.2528038560691985E-3</v>
      </c>
      <c r="G30">
        <f>+model!G$13*model!G$7/(1-model!G$13)</f>
        <v>0.87173553719008257</v>
      </c>
      <c r="H30">
        <f>+model!G$5*model!G$7/((1-model!G$13)*model!G$15)</f>
        <v>4.6035469232961403E-2</v>
      </c>
      <c r="I30">
        <f>IF(model!J$33="Sí",B30*((-H30+(H30^2+4*G30*(model!G$9-model!G$11))^0.5)/(2*G30))^2,NA())</f>
        <v>0.17137915952204483</v>
      </c>
      <c r="J30">
        <f>IF(model!J$35="Sí",model!G$5^2*(1-B30)^2/(B30*model!G$15^2),NA())</f>
        <v>4.2528038560691985E-3</v>
      </c>
      <c r="Q30" s="30" t="s">
        <v>16</v>
      </c>
      <c r="R30" s="31"/>
    </row>
    <row r="31" spans="2:18" x14ac:dyDescent="0.3">
      <c r="B31">
        <f t="shared" si="0"/>
        <v>0.28000000000000008</v>
      </c>
      <c r="C31">
        <f>+model!C$9*model!C$6/(1-model!C$9)</f>
        <v>0.87173553719008257</v>
      </c>
      <c r="D31">
        <f>+model!C$5*model!C$6/((1-model!C$9)*model!C$10)</f>
        <v>4.6035469232961403E-2</v>
      </c>
      <c r="E31">
        <f>IF(model!J$33="Sí",B31*((-D31+(D31^2+4*C31*(model!C$7-model!C$8))^0.5)/(2*C31))^2,NA())</f>
        <v>0.17772653580063907</v>
      </c>
      <c r="F31">
        <f>IF(model!J$33="Sí",model!C$5^2*(1-B31)^2/(B31*model!C$10^2),NA())</f>
        <v>3.9893336335301019E-3</v>
      </c>
      <c r="G31">
        <f>+model!G$13*model!G$7/(1-model!G$13)</f>
        <v>0.87173553719008257</v>
      </c>
      <c r="H31">
        <f>+model!G$5*model!G$7/((1-model!G$13)*model!G$15)</f>
        <v>4.6035469232961403E-2</v>
      </c>
      <c r="I31">
        <f>IF(model!J$33="Sí",B31*((-H31+(H31^2+4*G31*(model!G$9-model!G$11))^0.5)/(2*G31))^2,NA())</f>
        <v>0.17772653580063907</v>
      </c>
      <c r="J31">
        <f>IF(model!J$35="Sí",model!G$5^2*(1-B31)^2/(B31*model!G$15^2),NA())</f>
        <v>3.9893336335301019E-3</v>
      </c>
    </row>
    <row r="32" spans="2:18" x14ac:dyDescent="0.3">
      <c r="B32">
        <f t="shared" si="0"/>
        <v>0.29000000000000009</v>
      </c>
      <c r="C32">
        <f>+model!C$9*model!C$6/(1-model!C$9)</f>
        <v>0.87173553719008257</v>
      </c>
      <c r="D32">
        <f>+model!C$5*model!C$6/((1-model!C$9)*model!C$10)</f>
        <v>4.6035469232961403E-2</v>
      </c>
      <c r="E32">
        <f>IF(model!J$33="Sí",B32*((-D32+(D32^2+4*C32*(model!C$7-model!C$8))^0.5)/(2*C32))^2,NA())</f>
        <v>0.18407391207923335</v>
      </c>
      <c r="F32">
        <f>IF(model!J$33="Sí",model!C$5^2*(1-B32)^2/(B32*model!C$10^2),NA())</f>
        <v>3.7455197936988268E-3</v>
      </c>
      <c r="G32">
        <f>+model!G$13*model!G$7/(1-model!G$13)</f>
        <v>0.87173553719008257</v>
      </c>
      <c r="H32">
        <f>+model!G$5*model!G$7/((1-model!G$13)*model!G$15)</f>
        <v>4.6035469232961403E-2</v>
      </c>
      <c r="I32">
        <f>IF(model!J$33="Sí",B32*((-H32+(H32^2+4*G32*(model!G$9-model!G$11))^0.5)/(2*G32))^2,NA())</f>
        <v>0.18407391207923335</v>
      </c>
      <c r="J32">
        <f>IF(model!J$35="Sí",model!G$5^2*(1-B32)^2/(B32*model!G$15^2),NA())</f>
        <v>3.7455197936988268E-3</v>
      </c>
    </row>
    <row r="33" spans="2:10" x14ac:dyDescent="0.3">
      <c r="B33">
        <f t="shared" si="0"/>
        <v>0.3000000000000001</v>
      </c>
      <c r="C33">
        <f>+model!C$9*model!C$6/(1-model!C$9)</f>
        <v>0.87173553719008257</v>
      </c>
      <c r="D33">
        <f>+model!C$5*model!C$6/((1-model!C$9)*model!C$10)</f>
        <v>4.6035469232961403E-2</v>
      </c>
      <c r="E33">
        <f>IF(model!J$33="Sí",B33*((-D33+(D33^2+4*C33*(model!C$7-model!C$8))^0.5)/(2*C33))^2,NA())</f>
        <v>0.19042128835782759</v>
      </c>
      <c r="F33">
        <f>IF(model!J$33="Sí",model!C$5^2*(1-B33)^2/(B33*model!C$10^2),NA())</f>
        <v>3.5193966983045905E-3</v>
      </c>
      <c r="G33">
        <f>+model!G$13*model!G$7/(1-model!G$13)</f>
        <v>0.87173553719008257</v>
      </c>
      <c r="H33">
        <f>+model!G$5*model!G$7/((1-model!G$13)*model!G$15)</f>
        <v>4.6035469232961403E-2</v>
      </c>
      <c r="I33">
        <f>IF(model!J$33="Sí",B33*((-H33+(H33^2+4*G33*(model!G$9-model!G$11))^0.5)/(2*G33))^2,NA())</f>
        <v>0.19042128835782759</v>
      </c>
      <c r="J33">
        <f>IF(model!J$35="Sí",model!G$5^2*(1-B33)^2/(B33*model!G$15^2),NA())</f>
        <v>3.5193966983045905E-3</v>
      </c>
    </row>
    <row r="34" spans="2:10" x14ac:dyDescent="0.3">
      <c r="B34">
        <f t="shared" si="0"/>
        <v>0.31000000000000011</v>
      </c>
      <c r="C34">
        <f>+model!C$9*model!C$6/(1-model!C$9)</f>
        <v>0.87173553719008257</v>
      </c>
      <c r="D34">
        <f>+model!C$5*model!C$6/((1-model!C$9)*model!C$10)</f>
        <v>4.6035469232961403E-2</v>
      </c>
      <c r="E34">
        <f>IF(model!J$33="Sí",B34*((-D34+(D34^2+4*C34*(model!C$7-model!C$8))^0.5)/(2*C34))^2,NA())</f>
        <v>0.19676866463642184</v>
      </c>
      <c r="F34">
        <f>IF(model!J$33="Sí",model!C$5^2*(1-B34)^2/(B34*model!C$10^2),NA())</f>
        <v>3.3092523398212288E-3</v>
      </c>
      <c r="G34">
        <f>+model!G$13*model!G$7/(1-model!G$13)</f>
        <v>0.87173553719008257</v>
      </c>
      <c r="H34">
        <f>+model!G$5*model!G$7/((1-model!G$13)*model!G$15)</f>
        <v>4.6035469232961403E-2</v>
      </c>
      <c r="I34">
        <f>IF(model!J$33="Sí",B34*((-H34+(H34^2+4*G34*(model!G$9-model!G$11))^0.5)/(2*G34))^2,NA())</f>
        <v>0.19676866463642184</v>
      </c>
      <c r="J34">
        <f>IF(model!J$35="Sí",model!G$5^2*(1-B34)^2/(B34*model!G$15^2),NA())</f>
        <v>3.3092523398212288E-3</v>
      </c>
    </row>
    <row r="35" spans="2:10" x14ac:dyDescent="0.3">
      <c r="B35">
        <f t="shared" si="0"/>
        <v>0.32000000000000012</v>
      </c>
      <c r="C35">
        <f>+model!C$9*model!C$6/(1-model!C$9)</f>
        <v>0.87173553719008257</v>
      </c>
      <c r="D35">
        <f>+model!C$5*model!C$6/((1-model!C$9)*model!C$10)</f>
        <v>4.6035469232961403E-2</v>
      </c>
      <c r="E35">
        <f>IF(model!J$33="Sí",B35*((-D35+(D35^2+4*C35*(model!C$7-model!C$8))^0.5)/(2*C35))^2,NA())</f>
        <v>0.20311604091501612</v>
      </c>
      <c r="F35">
        <f>IF(model!J$33="Sí",model!C$5^2*(1-B35)^2/(B35*model!C$10^2),NA())</f>
        <v>3.1135887116633468E-3</v>
      </c>
      <c r="G35">
        <f>+model!G$13*model!G$7/(1-model!G$13)</f>
        <v>0.87173553719008257</v>
      </c>
      <c r="H35">
        <f>+model!G$5*model!G$7/((1-model!G$13)*model!G$15)</f>
        <v>4.6035469232961403E-2</v>
      </c>
      <c r="I35">
        <f>IF(model!J$33="Sí",B35*((-H35+(H35^2+4*G35*(model!G$9-model!G$11))^0.5)/(2*G35))^2,NA())</f>
        <v>0.20311604091501612</v>
      </c>
      <c r="J35">
        <f>IF(model!J$35="Sí",model!G$5^2*(1-B35)^2/(B35*model!G$15^2),NA())</f>
        <v>3.1135887116633468E-3</v>
      </c>
    </row>
    <row r="36" spans="2:10" x14ac:dyDescent="0.3">
      <c r="B36">
        <f t="shared" si="0"/>
        <v>0.33000000000000013</v>
      </c>
      <c r="C36">
        <f>+model!C$9*model!C$6/(1-model!C$9)</f>
        <v>0.87173553719008257</v>
      </c>
      <c r="D36">
        <f>+model!C$5*model!C$6/((1-model!C$9)*model!C$10)</f>
        <v>4.6035469232961403E-2</v>
      </c>
      <c r="E36">
        <f>IF(model!J$33="Sí",B36*((-D36+(D36^2+4*C36*(model!C$7-model!C$8))^0.5)/(2*C36))^2,NA())</f>
        <v>0.20946341719361036</v>
      </c>
      <c r="F36">
        <f>IF(model!J$33="Sí",model!C$5^2*(1-B36)^2/(B36*model!C$10^2),NA())</f>
        <v>2.9310893838013553E-3</v>
      </c>
      <c r="G36">
        <f>+model!G$13*model!G$7/(1-model!G$13)</f>
        <v>0.87173553719008257</v>
      </c>
      <c r="H36">
        <f>+model!G$5*model!G$7/((1-model!G$13)*model!G$15)</f>
        <v>4.6035469232961403E-2</v>
      </c>
      <c r="I36">
        <f>IF(model!J$33="Sí",B36*((-H36+(H36^2+4*G36*(model!G$9-model!G$11))^0.5)/(2*G36))^2,NA())</f>
        <v>0.20946341719361036</v>
      </c>
      <c r="J36">
        <f>IF(model!J$35="Sí",model!G$5^2*(1-B36)^2/(B36*model!G$15^2),NA())</f>
        <v>2.9310893838013553E-3</v>
      </c>
    </row>
    <row r="37" spans="2:10" x14ac:dyDescent="0.3">
      <c r="B37">
        <f t="shared" si="0"/>
        <v>0.34000000000000014</v>
      </c>
      <c r="C37">
        <f>+model!C$9*model!C$6/(1-model!C$9)</f>
        <v>0.87173553719008257</v>
      </c>
      <c r="D37">
        <f>+model!C$5*model!C$6/((1-model!C$9)*model!C$10)</f>
        <v>4.6035469232961403E-2</v>
      </c>
      <c r="E37">
        <f>IF(model!J$33="Sí",B37*((-D37+(D37^2+4*C37*(model!C$7-model!C$8))^0.5)/(2*C37))^2,NA())</f>
        <v>0.21581079347220464</v>
      </c>
      <c r="F37">
        <f>IF(model!J$33="Sí",model!C$5^2*(1-B37)^2/(B37*model!C$10^2),NA())</f>
        <v>2.7605928003267932E-3</v>
      </c>
      <c r="G37">
        <f>+model!G$13*model!G$7/(1-model!G$13)</f>
        <v>0.87173553719008257</v>
      </c>
      <c r="H37">
        <f>+model!G$5*model!G$7/((1-model!G$13)*model!G$15)</f>
        <v>4.6035469232961403E-2</v>
      </c>
      <c r="I37">
        <f>IF(model!J$33="Sí",B37*((-H37+(H37^2+4*G37*(model!G$9-model!G$11))^0.5)/(2*G37))^2,NA())</f>
        <v>0.21581079347220464</v>
      </c>
      <c r="J37">
        <f>IF(model!J$35="Sí",model!G$5^2*(1-B37)^2/(B37*model!G$15^2),NA())</f>
        <v>2.7605928003267932E-3</v>
      </c>
    </row>
    <row r="38" spans="2:10" x14ac:dyDescent="0.3">
      <c r="B38">
        <f t="shared" si="0"/>
        <v>0.35000000000000014</v>
      </c>
      <c r="C38">
        <f>+model!C$9*model!C$6/(1-model!C$9)</f>
        <v>0.87173553719008257</v>
      </c>
      <c r="D38">
        <f>+model!C$5*model!C$6/((1-model!C$9)*model!C$10)</f>
        <v>4.6035469232961403E-2</v>
      </c>
      <c r="E38">
        <f>IF(model!J$33="Sí",B38*((-D38+(D38^2+4*C38*(model!C$7-model!C$8))^0.5)/(2*C38))^2,NA())</f>
        <v>0.22215816975079888</v>
      </c>
      <c r="F38">
        <f>IF(model!J$33="Sí",model!C$5^2*(1-B38)^2/(B38*model!C$10^2),NA())</f>
        <v>2.6010701545778818E-3</v>
      </c>
      <c r="G38">
        <f>+model!G$13*model!G$7/(1-model!G$13)</f>
        <v>0.87173553719008257</v>
      </c>
      <c r="H38">
        <f>+model!G$5*model!G$7/((1-model!G$13)*model!G$15)</f>
        <v>4.6035469232961403E-2</v>
      </c>
      <c r="I38">
        <f>IF(model!J$33="Sí",B38*((-H38+(H38^2+4*G38*(model!G$9-model!G$11))^0.5)/(2*G38))^2,NA())</f>
        <v>0.22215816975079888</v>
      </c>
      <c r="J38">
        <f>IF(model!J$35="Sí",model!G$5^2*(1-B38)^2/(B38*model!G$15^2),NA())</f>
        <v>2.6010701545778818E-3</v>
      </c>
    </row>
    <row r="39" spans="2:10" x14ac:dyDescent="0.3">
      <c r="B39">
        <f t="shared" si="0"/>
        <v>0.36000000000000015</v>
      </c>
      <c r="C39">
        <f>+model!C$9*model!C$6/(1-model!C$9)</f>
        <v>0.87173553719008257</v>
      </c>
      <c r="D39">
        <f>+model!C$5*model!C$6/((1-model!C$9)*model!C$10)</f>
        <v>4.6035469232961403E-2</v>
      </c>
      <c r="E39">
        <f>IF(model!J$33="Sí",B39*((-D39+(D39^2+4*C39*(model!C$7-model!C$8))^0.5)/(2*C39))^2,NA())</f>
        <v>0.22850554602939313</v>
      </c>
      <c r="F39">
        <f>IF(model!J$33="Sí",model!C$5^2*(1-B39)^2/(B39*model!C$10^2),NA())</f>
        <v>2.4516069517441495E-3</v>
      </c>
      <c r="G39">
        <f>+model!G$13*model!G$7/(1-model!G$13)</f>
        <v>0.87173553719008257</v>
      </c>
      <c r="H39">
        <f>+model!G$5*model!G$7/((1-model!G$13)*model!G$15)</f>
        <v>4.6035469232961403E-2</v>
      </c>
      <c r="I39">
        <f>IF(model!J$33="Sí",B39*((-H39+(H39^2+4*G39*(model!G$9-model!G$11))^0.5)/(2*G39))^2,NA())</f>
        <v>0.22850554602939313</v>
      </c>
      <c r="J39">
        <f>IF(model!J$35="Sí",model!G$5^2*(1-B39)^2/(B39*model!G$15^2),NA())</f>
        <v>2.4516069517441495E-3</v>
      </c>
    </row>
    <row r="40" spans="2:10" x14ac:dyDescent="0.3">
      <c r="B40">
        <f t="shared" si="0"/>
        <v>0.37000000000000016</v>
      </c>
      <c r="C40">
        <f>+model!C$9*model!C$6/(1-model!C$9)</f>
        <v>0.87173553719008257</v>
      </c>
      <c r="D40">
        <f>+model!C$5*model!C$6/((1-model!C$9)*model!C$10)</f>
        <v>4.6035469232961403E-2</v>
      </c>
      <c r="E40">
        <f>IF(model!J$33="Sí",B40*((-D40+(D40^2+4*C40*(model!C$7-model!C$8))^0.5)/(2*C40))^2,NA())</f>
        <v>0.23485292230798741</v>
      </c>
      <c r="F40">
        <f>IF(model!J$33="Sí",model!C$5^2*(1-B40)^2/(B40*model!C$10^2),NA())</f>
        <v>2.3113875613189599E-3</v>
      </c>
      <c r="G40">
        <f>+model!G$13*model!G$7/(1-model!G$13)</f>
        <v>0.87173553719008257</v>
      </c>
      <c r="H40">
        <f>+model!G$5*model!G$7/((1-model!G$13)*model!G$15)</f>
        <v>4.6035469232961403E-2</v>
      </c>
      <c r="I40">
        <f>IF(model!J$33="Sí",B40*((-H40+(H40^2+4*G40*(model!G$9-model!G$11))^0.5)/(2*G40))^2,NA())</f>
        <v>0.23485292230798741</v>
      </c>
      <c r="J40">
        <f>IF(model!J$35="Sí",model!G$5^2*(1-B40)^2/(B40*model!G$15^2),NA())</f>
        <v>2.3113875613189599E-3</v>
      </c>
    </row>
    <row r="41" spans="2:10" x14ac:dyDescent="0.3">
      <c r="B41">
        <f t="shared" si="0"/>
        <v>0.38000000000000017</v>
      </c>
      <c r="C41">
        <f>+model!C$9*model!C$6/(1-model!C$9)</f>
        <v>0.87173553719008257</v>
      </c>
      <c r="D41">
        <f>+model!C$5*model!C$6/((1-model!C$9)*model!C$10)</f>
        <v>4.6035469232961403E-2</v>
      </c>
      <c r="E41">
        <f>IF(model!J$33="Sí",B41*((-D41+(D41^2+4*C41*(model!C$7-model!C$8))^0.5)/(2*C41))^2,NA())</f>
        <v>0.24120029858658165</v>
      </c>
      <c r="F41">
        <f>IF(model!J$33="Sí",model!C$5^2*(1-B41)^2/(B41*model!C$10^2),NA())</f>
        <v>2.1796822086384816E-3</v>
      </c>
      <c r="G41">
        <f>+model!G$13*model!G$7/(1-model!G$13)</f>
        <v>0.87173553719008257</v>
      </c>
      <c r="H41">
        <f>+model!G$5*model!G$7/((1-model!G$13)*model!G$15)</f>
        <v>4.6035469232961403E-2</v>
      </c>
      <c r="I41">
        <f>IF(model!J$33="Sí",B41*((-H41+(H41^2+4*G41*(model!G$9-model!G$11))^0.5)/(2*G41))^2,NA())</f>
        <v>0.24120029858658165</v>
      </c>
      <c r="J41">
        <f>IF(model!J$35="Sí",model!G$5^2*(1-B41)^2/(B41*model!G$15^2),NA())</f>
        <v>2.1796822086384816E-3</v>
      </c>
    </row>
    <row r="42" spans="2:10" x14ac:dyDescent="0.3">
      <c r="B42">
        <f t="shared" si="0"/>
        <v>0.39000000000000018</v>
      </c>
      <c r="C42">
        <f>+model!C$9*model!C$6/(1-model!C$9)</f>
        <v>0.87173553719008257</v>
      </c>
      <c r="D42">
        <f>+model!C$5*model!C$6/((1-model!C$9)*model!C$10)</f>
        <v>4.6035469232961403E-2</v>
      </c>
      <c r="E42">
        <f>IF(model!J$33="Sí",B42*((-D42+(D42^2+4*C42*(model!C$7-model!C$8))^0.5)/(2*C42))^2,NA())</f>
        <v>0.2475476748651759</v>
      </c>
      <c r="F42">
        <f>IF(model!J$33="Sí",model!C$5^2*(1-B42)^2/(B42*model!C$10^2),NA())</f>
        <v>2.0558359677223513E-3</v>
      </c>
      <c r="G42">
        <f>+model!G$13*model!G$7/(1-model!G$13)</f>
        <v>0.87173553719008257</v>
      </c>
      <c r="H42">
        <f>+model!G$5*model!G$7/((1-model!G$13)*model!G$15)</f>
        <v>4.6035469232961403E-2</v>
      </c>
      <c r="I42">
        <f>IF(model!J$33="Sí",B42*((-H42+(H42^2+4*G42*(model!G$9-model!G$11))^0.5)/(2*G42))^2,NA())</f>
        <v>0.2475476748651759</v>
      </c>
      <c r="J42">
        <f>IF(model!J$35="Sí",model!G$5^2*(1-B42)^2/(B42*model!G$15^2),NA())</f>
        <v>2.0558359677223513E-3</v>
      </c>
    </row>
    <row r="43" spans="2:10" x14ac:dyDescent="0.3">
      <c r="B43">
        <f t="shared" si="0"/>
        <v>0.40000000000000019</v>
      </c>
      <c r="C43">
        <f>+model!C$9*model!C$6/(1-model!C$9)</f>
        <v>0.87173553719008257</v>
      </c>
      <c r="D43">
        <f>+model!C$5*model!C$6/((1-model!C$9)*model!C$10)</f>
        <v>4.6035469232961403E-2</v>
      </c>
      <c r="E43">
        <f>IF(model!J$33="Sí",B43*((-D43+(D43^2+4*C43*(model!C$7-model!C$8))^0.5)/(2*C43))^2,NA())</f>
        <v>0.25389505114377015</v>
      </c>
      <c r="F43">
        <f>IF(model!J$33="Sí",model!C$5^2*(1-B43)^2/(B43*model!C$10^2),NA())</f>
        <v>1.9392594051882426E-3</v>
      </c>
      <c r="G43">
        <f>+model!G$13*model!G$7/(1-model!G$13)</f>
        <v>0.87173553719008257</v>
      </c>
      <c r="H43">
        <f>+model!G$5*model!G$7/((1-model!G$13)*model!G$15)</f>
        <v>4.6035469232961403E-2</v>
      </c>
      <c r="I43">
        <f>IF(model!J$33="Sí",B43*((-H43+(H43^2+4*G43*(model!G$9-model!G$11))^0.5)/(2*G43))^2,NA())</f>
        <v>0.25389505114377015</v>
      </c>
      <c r="J43">
        <f>IF(model!J$35="Sí",model!G$5^2*(1-B43)^2/(B43*model!G$15^2),NA())</f>
        <v>1.9392594051882426E-3</v>
      </c>
    </row>
    <row r="44" spans="2:10" x14ac:dyDescent="0.3">
      <c r="B44">
        <f t="shared" si="0"/>
        <v>0.4100000000000002</v>
      </c>
      <c r="C44">
        <f>+model!C$9*model!C$6/(1-model!C$9)</f>
        <v>0.87173553719008257</v>
      </c>
      <c r="D44">
        <f>+model!C$5*model!C$6/((1-model!C$9)*model!C$10)</f>
        <v>4.6035469232961403E-2</v>
      </c>
      <c r="E44">
        <f>IF(model!J$33="Sí",B44*((-D44+(D44^2+4*C44*(model!C$7-model!C$8))^0.5)/(2*C44))^2,NA())</f>
        <v>0.26024242742236442</v>
      </c>
      <c r="F44">
        <f>IF(model!J$33="Sí",model!C$5^2*(1-B44)^2/(B44*model!C$10^2),NA())</f>
        <v>1.8294205933496678E-3</v>
      </c>
      <c r="G44">
        <f>+model!G$13*model!G$7/(1-model!G$13)</f>
        <v>0.87173553719008257</v>
      </c>
      <c r="H44">
        <f>+model!G$5*model!G$7/((1-model!G$13)*model!G$15)</f>
        <v>4.6035469232961403E-2</v>
      </c>
      <c r="I44">
        <f>IF(model!J$33="Sí",B44*((-H44+(H44^2+4*G44*(model!G$9-model!G$11))^0.5)/(2*G44))^2,NA())</f>
        <v>0.26024242742236442</v>
      </c>
      <c r="J44">
        <f>IF(model!J$35="Sí",model!G$5^2*(1-B44)^2/(B44*model!G$15^2),NA())</f>
        <v>1.8294205933496678E-3</v>
      </c>
    </row>
    <row r="45" spans="2:10" x14ac:dyDescent="0.3">
      <c r="B45">
        <f t="shared" si="0"/>
        <v>0.42000000000000021</v>
      </c>
      <c r="C45">
        <f>+model!C$9*model!C$6/(1-model!C$9)</f>
        <v>0.87173553719008257</v>
      </c>
      <c r="D45">
        <f>+model!C$5*model!C$6/((1-model!C$9)*model!C$10)</f>
        <v>4.6035469232961403E-2</v>
      </c>
      <c r="E45">
        <f>IF(model!J$33="Sí",B45*((-D45+(D45^2+4*C45*(model!C$7-model!C$8))^0.5)/(2*C45))^2,NA())</f>
        <v>0.26658980370095869</v>
      </c>
      <c r="F45">
        <f>IF(model!J$33="Sí",model!C$5^2*(1-B45)^2/(B45*model!C$10^2),NA())</f>
        <v>1.7258382642998012E-3</v>
      </c>
      <c r="G45">
        <f>+model!G$13*model!G$7/(1-model!G$13)</f>
        <v>0.87173553719008257</v>
      </c>
      <c r="H45">
        <f>+model!G$5*model!G$7/((1-model!G$13)*model!G$15)</f>
        <v>4.6035469232961403E-2</v>
      </c>
      <c r="I45">
        <f>IF(model!J$33="Sí",B45*((-H45+(H45^2+4*G45*(model!G$9-model!G$11))^0.5)/(2*G45))^2,NA())</f>
        <v>0.26658980370095869</v>
      </c>
      <c r="J45">
        <f>IF(model!J$35="Sí",model!G$5^2*(1-B45)^2/(B45*model!G$15^2),NA())</f>
        <v>1.7258382642998012E-3</v>
      </c>
    </row>
    <row r="46" spans="2:10" x14ac:dyDescent="0.3">
      <c r="B46">
        <f t="shared" si="0"/>
        <v>0.43000000000000022</v>
      </c>
      <c r="C46">
        <f>+model!C$9*model!C$6/(1-model!C$9)</f>
        <v>0.87173553719008257</v>
      </c>
      <c r="D46">
        <f>+model!C$5*model!C$6/((1-model!C$9)*model!C$10)</f>
        <v>4.6035469232961403E-2</v>
      </c>
      <c r="E46">
        <f>IF(model!J$33="Sí",B46*((-D46+(D46^2+4*C46*(model!C$7-model!C$8))^0.5)/(2*C46))^2,NA())</f>
        <v>0.27293717997955291</v>
      </c>
      <c r="F46">
        <f>IF(model!J$33="Sí",model!C$5^2*(1-B46)^2/(B46*model!C$10^2),NA())</f>
        <v>1.6280759192394314E-3</v>
      </c>
      <c r="G46">
        <f>+model!G$13*model!G$7/(1-model!G$13)</f>
        <v>0.87173553719008257</v>
      </c>
      <c r="H46">
        <f>+model!G$5*model!G$7/((1-model!G$13)*model!G$15)</f>
        <v>4.6035469232961403E-2</v>
      </c>
      <c r="I46">
        <f>IF(model!J$33="Sí",B46*((-H46+(H46^2+4*G46*(model!G$9-model!G$11))^0.5)/(2*G46))^2,NA())</f>
        <v>0.27293717997955291</v>
      </c>
      <c r="J46">
        <f>IF(model!J$35="Sí",model!G$5^2*(1-B46)^2/(B46*model!G$15^2),NA())</f>
        <v>1.6280759192394314E-3</v>
      </c>
    </row>
    <row r="47" spans="2:10" x14ac:dyDescent="0.3">
      <c r="B47">
        <f t="shared" si="0"/>
        <v>0.44000000000000022</v>
      </c>
      <c r="C47">
        <f>+model!C$9*model!C$6/(1-model!C$9)</f>
        <v>0.87173553719008257</v>
      </c>
      <c r="D47">
        <f>+model!C$5*model!C$6/((1-model!C$9)*model!C$10)</f>
        <v>4.6035469232961403E-2</v>
      </c>
      <c r="E47">
        <f>IF(model!J$33="Sí",B47*((-D47+(D47^2+4*C47*(model!C$7-model!C$8))^0.5)/(2*C47))^2,NA())</f>
        <v>0.27928455625814719</v>
      </c>
      <c r="F47">
        <f>IF(model!J$33="Sí",model!C$5^2*(1-B47)^2/(B47*model!C$10^2),NA())</f>
        <v>1.5357367410783658E-3</v>
      </c>
      <c r="G47">
        <f>+model!G$13*model!G$7/(1-model!G$13)</f>
        <v>0.87173553719008257</v>
      </c>
      <c r="H47">
        <f>+model!G$5*model!G$7/((1-model!G$13)*model!G$15)</f>
        <v>4.6035469232961403E-2</v>
      </c>
      <c r="I47">
        <f>IF(model!J$33="Sí",B47*((-H47+(H47^2+4*G47*(model!G$9-model!G$11))^0.5)/(2*G47))^2,NA())</f>
        <v>0.27928455625814719</v>
      </c>
      <c r="J47">
        <f>IF(model!J$35="Sí",model!G$5^2*(1-B47)^2/(B47*model!G$15^2),NA())</f>
        <v>1.5357367410783658E-3</v>
      </c>
    </row>
    <row r="48" spans="2:10" x14ac:dyDescent="0.3">
      <c r="B48">
        <f t="shared" si="0"/>
        <v>0.45000000000000023</v>
      </c>
      <c r="C48">
        <f>+model!C$9*model!C$6/(1-model!C$9)</f>
        <v>0.87173553719008257</v>
      </c>
      <c r="D48">
        <f>+model!C$5*model!C$6/((1-model!C$9)*model!C$10)</f>
        <v>4.6035469232961403E-2</v>
      </c>
      <c r="E48">
        <f>IF(model!J$33="Sí",B48*((-D48+(D48^2+4*C48*(model!C$7-model!C$8))^0.5)/(2*C48))^2,NA())</f>
        <v>0.28563193253674146</v>
      </c>
      <c r="F48">
        <f>IF(model!J$33="Sí",model!C$5^2*(1-B48)^2/(B48*model!C$10^2),NA())</f>
        <v>1.4484591853566504E-3</v>
      </c>
      <c r="G48">
        <f>+model!G$13*model!G$7/(1-model!G$13)</f>
        <v>0.87173553719008257</v>
      </c>
      <c r="H48">
        <f>+model!G$5*model!G$7/((1-model!G$13)*model!G$15)</f>
        <v>4.6035469232961403E-2</v>
      </c>
      <c r="I48">
        <f>IF(model!J$33="Sí",B48*((-H48+(H48^2+4*G48*(model!G$9-model!G$11))^0.5)/(2*G48))^2,NA())</f>
        <v>0.28563193253674146</v>
      </c>
      <c r="J48">
        <f>IF(model!J$35="Sí",model!G$5^2*(1-B48)^2/(B48*model!G$15^2),NA())</f>
        <v>1.4484591853566504E-3</v>
      </c>
    </row>
    <row r="49" spans="2:10" x14ac:dyDescent="0.3">
      <c r="B49">
        <f t="shared" si="0"/>
        <v>0.46000000000000024</v>
      </c>
      <c r="C49">
        <f>+model!C$9*model!C$6/(1-model!C$9)</f>
        <v>0.87173553719008257</v>
      </c>
      <c r="D49">
        <f>+model!C$5*model!C$6/((1-model!C$9)*model!C$10)</f>
        <v>4.6035469232961403E-2</v>
      </c>
      <c r="E49">
        <f>IF(model!J$33="Sí",B49*((-D49+(D49^2+4*C49*(model!C$7-model!C$8))^0.5)/(2*C49))^2,NA())</f>
        <v>0.29197930881533568</v>
      </c>
      <c r="F49">
        <f>IF(model!J$33="Sí",model!C$5^2*(1-B49)^2/(B49*model!C$10^2),NA())</f>
        <v>1.3659131462630228E-3</v>
      </c>
      <c r="G49">
        <f>+model!G$13*model!G$7/(1-model!G$13)</f>
        <v>0.87173553719008257</v>
      </c>
      <c r="H49">
        <f>+model!G$5*model!G$7/((1-model!G$13)*model!G$15)</f>
        <v>4.6035469232961403E-2</v>
      </c>
      <c r="I49">
        <f>IF(model!J$33="Sí",B49*((-H49+(H49^2+4*G49*(model!G$9-model!G$11))^0.5)/(2*G49))^2,NA())</f>
        <v>0.29197930881533568</v>
      </c>
      <c r="J49">
        <f>IF(model!J$35="Sí",model!G$5^2*(1-B49)^2/(B49*model!G$15^2),NA())</f>
        <v>1.3659131462630228E-3</v>
      </c>
    </row>
    <row r="50" spans="2:10" x14ac:dyDescent="0.3">
      <c r="B50">
        <f t="shared" si="0"/>
        <v>0.47000000000000025</v>
      </c>
      <c r="C50">
        <f>+model!C$9*model!C$6/(1-model!C$9)</f>
        <v>0.87173553719008257</v>
      </c>
      <c r="D50">
        <f>+model!C$5*model!C$6/((1-model!C$9)*model!C$10)</f>
        <v>4.6035469232961403E-2</v>
      </c>
      <c r="E50">
        <f>IF(model!J$33="Sí",B50*((-D50+(D50^2+4*C50*(model!C$7-model!C$8))^0.5)/(2*C50))^2,NA())</f>
        <v>0.29832668509392996</v>
      </c>
      <c r="F50">
        <f>IF(model!J$33="Sí",model!C$5^2*(1-B50)^2/(B50*model!C$10^2),NA())</f>
        <v>1.2877966120978187E-3</v>
      </c>
      <c r="G50">
        <f>+model!G$13*model!G$7/(1-model!G$13)</f>
        <v>0.87173553719008257</v>
      </c>
      <c r="H50">
        <f>+model!G$5*model!G$7/((1-model!G$13)*model!G$15)</f>
        <v>4.6035469232961403E-2</v>
      </c>
      <c r="I50">
        <f>IF(model!J$33="Sí",B50*((-H50+(H50^2+4*G50*(model!G$9-model!G$11))^0.5)/(2*G50))^2,NA())</f>
        <v>0.29832668509392996</v>
      </c>
      <c r="J50">
        <f>IF(model!J$35="Sí",model!G$5^2*(1-B50)^2/(B50*model!G$15^2),NA())</f>
        <v>1.2877966120978187E-3</v>
      </c>
    </row>
    <row r="51" spans="2:10" x14ac:dyDescent="0.3">
      <c r="B51">
        <f t="shared" si="0"/>
        <v>0.48000000000000026</v>
      </c>
      <c r="C51">
        <f>+model!C$9*model!C$6/(1-model!C$9)</f>
        <v>0.87173553719008257</v>
      </c>
      <c r="D51">
        <f>+model!C$5*model!C$6/((1-model!C$9)*model!C$10)</f>
        <v>4.6035469232961403E-2</v>
      </c>
      <c r="E51">
        <f>IF(model!J$33="Sí",B51*((-D51+(D51^2+4*C51*(model!C$7-model!C$8))^0.5)/(2*C51))^2,NA())</f>
        <v>0.30467406137252423</v>
      </c>
      <c r="F51">
        <f>IF(model!J$33="Sí",model!C$5^2*(1-B51)^2/(B51*model!C$10^2),NA())</f>
        <v>1.2138327388030109E-3</v>
      </c>
      <c r="G51">
        <f>+model!G$13*model!G$7/(1-model!G$13)</f>
        <v>0.87173553719008257</v>
      </c>
      <c r="H51">
        <f>+model!G$5*model!G$7/((1-model!G$13)*model!G$15)</f>
        <v>4.6035469232961403E-2</v>
      </c>
      <c r="I51">
        <f>IF(model!J$33="Sí",B51*((-H51+(H51^2+4*G51*(model!G$9-model!G$11))^0.5)/(2*G51))^2,NA())</f>
        <v>0.30467406137252423</v>
      </c>
      <c r="J51">
        <f>IF(model!J$35="Sí",model!G$5^2*(1-B51)^2/(B51*model!G$15^2),NA())</f>
        <v>1.2138327388030109E-3</v>
      </c>
    </row>
    <row r="52" spans="2:10" x14ac:dyDescent="0.3">
      <c r="B52">
        <f t="shared" si="0"/>
        <v>0.49000000000000027</v>
      </c>
      <c r="C52">
        <f>+model!C$9*model!C$6/(1-model!C$9)</f>
        <v>0.87173553719008257</v>
      </c>
      <c r="D52">
        <f>+model!C$5*model!C$6/((1-model!C$9)*model!C$10)</f>
        <v>4.6035469232961403E-2</v>
      </c>
      <c r="E52">
        <f>IF(model!J$33="Sí",B52*((-D52+(D52^2+4*C52*(model!C$7-model!C$8))^0.5)/(2*C52))^2,NA())</f>
        <v>0.31102143765111845</v>
      </c>
      <c r="F52">
        <f>IF(model!J$33="Sí",model!C$5^2*(1-B52)^2/(B52*model!C$10^2),NA())</f>
        <v>1.1437672818355141E-3</v>
      </c>
      <c r="G52">
        <f>+model!G$13*model!G$7/(1-model!G$13)</f>
        <v>0.87173553719008257</v>
      </c>
      <c r="H52">
        <f>+model!G$5*model!G$7/((1-model!G$13)*model!G$15)</f>
        <v>4.6035469232961403E-2</v>
      </c>
      <c r="I52">
        <f>IF(model!J$33="Sí",B52*((-H52+(H52^2+4*G52*(model!G$9-model!G$11))^0.5)/(2*G52))^2,NA())</f>
        <v>0.31102143765111845</v>
      </c>
      <c r="J52">
        <f>IF(model!J$35="Sí",model!G$5^2*(1-B52)^2/(B52*model!G$15^2),NA())</f>
        <v>1.1437672818355141E-3</v>
      </c>
    </row>
    <row r="53" spans="2:10" x14ac:dyDescent="0.3">
      <c r="B53">
        <f t="shared" si="0"/>
        <v>0.50000000000000022</v>
      </c>
      <c r="C53">
        <f>+model!C$9*model!C$6/(1-model!C$9)</f>
        <v>0.87173553719008257</v>
      </c>
      <c r="D53">
        <f>+model!C$5*model!C$6/((1-model!C$9)*model!C$10)</f>
        <v>4.6035469232961403E-2</v>
      </c>
      <c r="E53">
        <f>IF(model!J$33="Sí",B53*((-D53+(D53^2+4*C53*(model!C$7-model!C$8))^0.5)/(2*C53))^2,NA())</f>
        <v>0.31736881392971272</v>
      </c>
      <c r="F53">
        <f>IF(model!J$33="Sí",model!C$5^2*(1-B53)^2/(B53*model!C$10^2),NA())</f>
        <v>1.07736633621569E-3</v>
      </c>
      <c r="G53">
        <f>+model!G$13*model!G$7/(1-model!G$13)</f>
        <v>0.87173553719008257</v>
      </c>
      <c r="H53">
        <f>+model!G$5*model!G$7/((1-model!G$13)*model!G$15)</f>
        <v>4.6035469232961403E-2</v>
      </c>
      <c r="I53">
        <f>IF(model!J$33="Sí",B53*((-H53+(H53^2+4*G53*(model!G$9-model!G$11))^0.5)/(2*G53))^2,NA())</f>
        <v>0.31736881392971272</v>
      </c>
      <c r="J53">
        <f>IF(model!J$35="Sí",model!G$5^2*(1-B53)^2/(B53*model!G$15^2),NA())</f>
        <v>1.07736633621569E-3</v>
      </c>
    </row>
  </sheetData>
  <mergeCells count="1">
    <mergeCell ref="Q30:R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5"/>
  <sheetViews>
    <sheetView topLeftCell="E12" workbookViewId="0">
      <selection activeCell="P13" sqref="P13"/>
    </sheetView>
  </sheetViews>
  <sheetFormatPr baseColWidth="10" defaultColWidth="9.109375" defaultRowHeight="14.4" x14ac:dyDescent="0.3"/>
  <cols>
    <col min="3" max="3" width="10.109375" customWidth="1"/>
    <col min="9" max="9" width="6.33203125" customWidth="1"/>
    <col min="14" max="14" width="36.44140625" customWidth="1"/>
    <col min="15" max="15" width="22.44140625" customWidth="1"/>
    <col min="17" max="17" width="34" customWidth="1"/>
    <col min="18" max="18" width="8.44140625" customWidth="1"/>
    <col min="19" max="20" width="10.109375" customWidth="1"/>
    <col min="22" max="22" width="11.5546875" customWidth="1"/>
  </cols>
  <sheetData>
    <row r="1" spans="1:36" x14ac:dyDescent="0.3">
      <c r="A1" t="s">
        <v>73</v>
      </c>
    </row>
    <row r="2" spans="1:36" x14ac:dyDescent="0.3">
      <c r="C2" s="32" t="s">
        <v>57</v>
      </c>
      <c r="D2" s="32"/>
      <c r="E2" s="32"/>
      <c r="F2" s="32"/>
      <c r="G2" s="32"/>
      <c r="H2" s="32" t="s">
        <v>58</v>
      </c>
      <c r="I2" s="32"/>
      <c r="J2" s="32"/>
      <c r="K2" s="32"/>
      <c r="L2" s="32"/>
      <c r="M2" s="32"/>
      <c r="N2" s="24"/>
      <c r="O2" s="24"/>
    </row>
    <row r="3" spans="1:36" x14ac:dyDescent="0.3">
      <c r="B3" s="14" t="s">
        <v>59</v>
      </c>
      <c r="C3" s="15" t="s">
        <v>45</v>
      </c>
      <c r="D3" s="15" t="s">
        <v>4</v>
      </c>
      <c r="E3" s="15" t="s">
        <v>0</v>
      </c>
      <c r="F3" s="15" t="s">
        <v>46</v>
      </c>
      <c r="G3" s="15" t="s">
        <v>3</v>
      </c>
      <c r="H3" s="15" t="s">
        <v>60</v>
      </c>
      <c r="I3" s="15" t="s">
        <v>61</v>
      </c>
      <c r="J3" s="15" t="s">
        <v>62</v>
      </c>
      <c r="K3" s="15" t="s">
        <v>63</v>
      </c>
      <c r="L3" s="15" t="s">
        <v>64</v>
      </c>
      <c r="M3" s="15" t="s">
        <v>65</v>
      </c>
      <c r="N3" s="12"/>
    </row>
    <row r="4" spans="1:36" x14ac:dyDescent="0.3">
      <c r="B4" s="14" t="s">
        <v>74</v>
      </c>
      <c r="C4" s="14">
        <v>4855</v>
      </c>
      <c r="D4" s="14">
        <v>3699</v>
      </c>
      <c r="E4" s="14">
        <v>5117</v>
      </c>
      <c r="F4" s="14">
        <v>135701</v>
      </c>
      <c r="G4" s="14">
        <v>8182</v>
      </c>
      <c r="H4" s="14">
        <f t="shared" ref="H4:H11" si="0">+F4+G4</f>
        <v>143883</v>
      </c>
      <c r="I4" s="16">
        <f t="shared" ref="I4:I27" si="1">+D4/H4</f>
        <v>2.570838806530306E-2</v>
      </c>
      <c r="J4" s="16">
        <f t="shared" ref="J4:J27" si="2">(G4/H4)</f>
        <v>5.6865647783268351E-2</v>
      </c>
      <c r="K4" s="16">
        <f t="shared" ref="K4:K27" si="3">C4/G4</f>
        <v>0.59337570276216089</v>
      </c>
      <c r="L4" s="16">
        <f t="shared" ref="L4:L27" si="4">D4/G4</f>
        <v>0.45208995355658765</v>
      </c>
      <c r="M4" s="16">
        <v>3.1E-2</v>
      </c>
      <c r="N4" s="11" t="s">
        <v>30</v>
      </c>
      <c r="O4" s="23" t="s">
        <v>88</v>
      </c>
    </row>
    <row r="5" spans="1:36" x14ac:dyDescent="0.3">
      <c r="B5" s="14" t="s">
        <v>75</v>
      </c>
      <c r="C5" s="14">
        <v>5058</v>
      </c>
      <c r="D5" s="14">
        <v>3441</v>
      </c>
      <c r="E5" s="14">
        <v>4953</v>
      </c>
      <c r="F5" s="14">
        <v>137417</v>
      </c>
      <c r="G5" s="14">
        <v>8520</v>
      </c>
      <c r="H5" s="14">
        <f t="shared" si="0"/>
        <v>145937</v>
      </c>
      <c r="I5" s="16">
        <f t="shared" si="1"/>
        <v>2.3578667507212017E-2</v>
      </c>
      <c r="J5" s="16">
        <f t="shared" si="2"/>
        <v>5.8381356338694096E-2</v>
      </c>
      <c r="K5" s="16">
        <f t="shared" si="3"/>
        <v>0.5936619718309859</v>
      </c>
      <c r="L5" s="16">
        <f t="shared" si="4"/>
        <v>0.40387323943661974</v>
      </c>
      <c r="M5" s="16">
        <v>3.1E-2</v>
      </c>
      <c r="N5" s="11" t="s">
        <v>31</v>
      </c>
      <c r="O5" s="23" t="s">
        <v>89</v>
      </c>
    </row>
    <row r="6" spans="1:36" x14ac:dyDescent="0.3">
      <c r="B6" s="14" t="s">
        <v>76</v>
      </c>
      <c r="C6" s="14">
        <v>4900</v>
      </c>
      <c r="D6" s="14">
        <v>3424</v>
      </c>
      <c r="E6" s="14">
        <v>4722</v>
      </c>
      <c r="F6" s="14">
        <v>138472</v>
      </c>
      <c r="G6" s="14">
        <v>8370</v>
      </c>
      <c r="H6" s="14">
        <f t="shared" si="0"/>
        <v>146842</v>
      </c>
      <c r="I6" s="16">
        <f t="shared" si="1"/>
        <v>2.3317579439125047E-2</v>
      </c>
      <c r="J6" s="16">
        <f t="shared" si="2"/>
        <v>5.7000040860244343E-2</v>
      </c>
      <c r="K6" s="16">
        <f t="shared" si="3"/>
        <v>0.5854241338112306</v>
      </c>
      <c r="L6" s="16">
        <f t="shared" si="4"/>
        <v>0.40908004778972523</v>
      </c>
      <c r="M6" s="16">
        <v>3.1E-2</v>
      </c>
      <c r="N6" s="11" t="s">
        <v>32</v>
      </c>
      <c r="O6" s="23" t="s">
        <v>90</v>
      </c>
    </row>
    <row r="7" spans="1:36" x14ac:dyDescent="0.3">
      <c r="B7" s="14" t="s">
        <v>77</v>
      </c>
      <c r="C7" s="14">
        <v>5201</v>
      </c>
      <c r="D7" s="14">
        <v>3804</v>
      </c>
      <c r="E7" s="14">
        <v>5045</v>
      </c>
      <c r="F7" s="14">
        <v>140245</v>
      </c>
      <c r="G7" s="14">
        <v>7784</v>
      </c>
      <c r="H7" s="14">
        <f t="shared" si="0"/>
        <v>148029</v>
      </c>
      <c r="I7" s="16">
        <f t="shared" si="1"/>
        <v>2.5697667348965406E-2</v>
      </c>
      <c r="J7" s="16">
        <f t="shared" si="2"/>
        <v>5.2584290915969167E-2</v>
      </c>
      <c r="K7" s="16">
        <f t="shared" si="3"/>
        <v>0.66816546762589923</v>
      </c>
      <c r="L7" s="16">
        <f t="shared" si="4"/>
        <v>0.48869475847893112</v>
      </c>
      <c r="M7" s="16">
        <v>3.1E-2</v>
      </c>
      <c r="N7" s="11" t="s">
        <v>33</v>
      </c>
      <c r="O7" s="23" t="s">
        <v>91</v>
      </c>
    </row>
    <row r="8" spans="1:36" x14ac:dyDescent="0.3">
      <c r="B8" s="14" t="s">
        <v>78</v>
      </c>
      <c r="C8" s="14">
        <v>5271</v>
      </c>
      <c r="D8" s="14">
        <v>4397</v>
      </c>
      <c r="E8" s="14">
        <v>5060</v>
      </c>
      <c r="F8" s="14">
        <v>143150</v>
      </c>
      <c r="G8" s="14">
        <v>7064</v>
      </c>
      <c r="H8" s="14">
        <f t="shared" si="0"/>
        <v>150214</v>
      </c>
      <c r="I8" s="16">
        <f t="shared" si="1"/>
        <v>2.9271572556486079E-2</v>
      </c>
      <c r="J8" s="16">
        <f t="shared" si="2"/>
        <v>4.7026242560613524E-2</v>
      </c>
      <c r="K8" s="16">
        <f t="shared" si="3"/>
        <v>0.74617780294450731</v>
      </c>
      <c r="L8" s="16">
        <f t="shared" si="4"/>
        <v>0.62245186862967161</v>
      </c>
      <c r="M8" s="16">
        <v>3.1E-2</v>
      </c>
      <c r="N8" s="11" t="s">
        <v>34</v>
      </c>
      <c r="O8" s="23" t="s">
        <v>92</v>
      </c>
    </row>
    <row r="9" spans="1:36" x14ac:dyDescent="0.3">
      <c r="B9" s="14" t="s">
        <v>79</v>
      </c>
      <c r="C9" s="14">
        <v>5426</v>
      </c>
      <c r="D9" s="14">
        <v>4763</v>
      </c>
      <c r="E9" s="14">
        <v>5263</v>
      </c>
      <c r="F9" s="14">
        <v>146028</v>
      </c>
      <c r="G9" s="14">
        <v>7116</v>
      </c>
      <c r="H9" s="14">
        <f t="shared" si="0"/>
        <v>153144</v>
      </c>
      <c r="I9" s="16">
        <f t="shared" si="1"/>
        <v>3.1101447004126835E-2</v>
      </c>
      <c r="J9" s="16">
        <f t="shared" si="2"/>
        <v>4.6466071148722768E-2</v>
      </c>
      <c r="K9" s="16">
        <f t="shared" si="3"/>
        <v>0.76250702641933665</v>
      </c>
      <c r="L9" s="16">
        <f t="shared" si="4"/>
        <v>0.66933670601461492</v>
      </c>
      <c r="M9" s="16">
        <v>3.1E-2</v>
      </c>
      <c r="N9" s="11" t="s">
        <v>35</v>
      </c>
      <c r="O9" t="s">
        <v>36</v>
      </c>
    </row>
    <row r="10" spans="1:36" x14ac:dyDescent="0.3">
      <c r="B10" s="14" t="s">
        <v>80</v>
      </c>
      <c r="C10" s="14">
        <v>5071</v>
      </c>
      <c r="D10" s="14">
        <v>4624</v>
      </c>
      <c r="E10" s="14">
        <v>5149</v>
      </c>
      <c r="F10" s="14">
        <v>146378</v>
      </c>
      <c r="G10" s="14">
        <v>7685</v>
      </c>
      <c r="H10" s="14">
        <f t="shared" si="0"/>
        <v>154063</v>
      </c>
      <c r="I10" s="16">
        <f t="shared" si="1"/>
        <v>3.0013695695916606E-2</v>
      </c>
      <c r="J10" s="16">
        <f t="shared" si="2"/>
        <v>4.9882191051712613E-2</v>
      </c>
      <c r="K10" s="16">
        <f t="shared" si="3"/>
        <v>0.65985686402081978</v>
      </c>
      <c r="L10" s="16">
        <f t="shared" si="4"/>
        <v>0.60169160702667535</v>
      </c>
      <c r="M10" s="16">
        <v>3.1E-2</v>
      </c>
      <c r="N10" s="11" t="s">
        <v>37</v>
      </c>
      <c r="O10" t="s">
        <v>38</v>
      </c>
    </row>
    <row r="11" spans="1:36" x14ac:dyDescent="0.3">
      <c r="B11" s="14" t="s">
        <v>81</v>
      </c>
      <c r="C11" s="14">
        <v>4095</v>
      </c>
      <c r="D11" s="14">
        <v>2738</v>
      </c>
      <c r="E11" s="14">
        <v>4865</v>
      </c>
      <c r="F11" s="14">
        <v>142152</v>
      </c>
      <c r="G11" s="14">
        <v>12058</v>
      </c>
      <c r="H11" s="14">
        <f t="shared" si="0"/>
        <v>154210</v>
      </c>
      <c r="I11" s="16">
        <f t="shared" si="1"/>
        <v>1.7755009402762468E-2</v>
      </c>
      <c r="J11" s="16">
        <f t="shared" si="2"/>
        <v>7.8192075740872835E-2</v>
      </c>
      <c r="K11" s="16">
        <f t="shared" si="3"/>
        <v>0.33960855863327249</v>
      </c>
      <c r="L11" s="16">
        <f t="shared" si="4"/>
        <v>0.22706916569912092</v>
      </c>
      <c r="M11" s="16">
        <v>3.1E-2</v>
      </c>
      <c r="N11" s="11" t="s">
        <v>39</v>
      </c>
      <c r="O11" t="s">
        <v>40</v>
      </c>
    </row>
    <row r="12" spans="1:36" x14ac:dyDescent="0.3">
      <c r="B12" s="14" t="s">
        <v>47</v>
      </c>
      <c r="C12" s="14">
        <v>3904</v>
      </c>
      <c r="D12" s="14">
        <v>2837</v>
      </c>
      <c r="E12" s="14">
        <v>3940</v>
      </c>
      <c r="F12" s="14">
        <v>138438</v>
      </c>
      <c r="G12" s="14">
        <v>15046</v>
      </c>
      <c r="H12" s="14">
        <f>+F12+G12</f>
        <v>153484</v>
      </c>
      <c r="I12" s="16">
        <f t="shared" si="1"/>
        <v>1.848401136274791E-2</v>
      </c>
      <c r="J12" s="16">
        <f t="shared" si="2"/>
        <v>9.8029762059888975E-2</v>
      </c>
      <c r="K12" s="16">
        <f t="shared" si="3"/>
        <v>0.25947095573574375</v>
      </c>
      <c r="L12" s="16">
        <f t="shared" si="4"/>
        <v>0.18855509770038548</v>
      </c>
      <c r="M12" s="16">
        <v>3.1E-2</v>
      </c>
      <c r="N12" s="11" t="s">
        <v>41</v>
      </c>
      <c r="O12" t="s">
        <v>42</v>
      </c>
      <c r="V12" s="17"/>
      <c r="Z12" s="12"/>
      <c r="AA12" s="12"/>
      <c r="AB12" s="17"/>
      <c r="AC12" s="17"/>
      <c r="AG12" s="12"/>
      <c r="AH12" s="12"/>
      <c r="AI12" s="17"/>
      <c r="AJ12" s="17"/>
    </row>
    <row r="13" spans="1:36" x14ac:dyDescent="0.3">
      <c r="B13" s="14" t="s">
        <v>48</v>
      </c>
      <c r="C13" s="14">
        <v>4000</v>
      </c>
      <c r="D13" s="14">
        <v>3104</v>
      </c>
      <c r="E13" s="14">
        <v>4001</v>
      </c>
      <c r="F13" s="14">
        <v>139250</v>
      </c>
      <c r="G13" s="14">
        <v>14013</v>
      </c>
      <c r="H13" s="14">
        <f t="shared" ref="H13:H27" si="5">+F13+G13</f>
        <v>153263</v>
      </c>
      <c r="I13" s="16">
        <f t="shared" si="1"/>
        <v>2.0252768117549572E-2</v>
      </c>
      <c r="J13" s="16">
        <f t="shared" si="2"/>
        <v>9.1431069468821569E-2</v>
      </c>
      <c r="K13" s="16">
        <f t="shared" si="3"/>
        <v>0.28544922571897524</v>
      </c>
      <c r="L13" s="16">
        <f t="shared" si="4"/>
        <v>0.22150859915792478</v>
      </c>
      <c r="M13" s="16">
        <v>3.1E-2</v>
      </c>
      <c r="N13" s="11" t="s">
        <v>43</v>
      </c>
      <c r="O13" t="s">
        <v>44</v>
      </c>
      <c r="V13" s="13"/>
      <c r="X13" s="13"/>
      <c r="Y13" s="13"/>
      <c r="Z13" s="13"/>
      <c r="AA13" s="13"/>
      <c r="AB13" s="13"/>
      <c r="AC13" s="13"/>
      <c r="AE13" s="13"/>
      <c r="AF13" s="13"/>
    </row>
    <row r="14" spans="1:36" x14ac:dyDescent="0.3">
      <c r="B14" s="14" t="s">
        <v>49</v>
      </c>
      <c r="C14" s="14">
        <v>4457</v>
      </c>
      <c r="D14" s="14">
        <v>3909</v>
      </c>
      <c r="E14" s="14">
        <v>4158</v>
      </c>
      <c r="F14" s="14">
        <v>141584</v>
      </c>
      <c r="G14" s="14">
        <v>12797</v>
      </c>
      <c r="H14" s="14">
        <f t="shared" si="5"/>
        <v>154381</v>
      </c>
      <c r="I14" s="16">
        <f t="shared" si="1"/>
        <v>2.5320473374314197E-2</v>
      </c>
      <c r="J14" s="16">
        <f t="shared" si="2"/>
        <v>8.289232483271905E-2</v>
      </c>
      <c r="K14" s="16">
        <f t="shared" si="3"/>
        <v>0.34828475423927485</v>
      </c>
      <c r="L14" s="16">
        <f t="shared" si="4"/>
        <v>0.30546221770727516</v>
      </c>
      <c r="M14" s="16">
        <v>3.1E-2</v>
      </c>
      <c r="Q14" s="13"/>
      <c r="R14" s="13"/>
      <c r="U14" s="13"/>
      <c r="V14" s="13"/>
      <c r="X14" s="13"/>
      <c r="Y14" s="13"/>
      <c r="AB14" s="13"/>
      <c r="AC14" s="13"/>
      <c r="AE14" s="13"/>
      <c r="AF14" s="13"/>
    </row>
    <row r="15" spans="1:36" x14ac:dyDescent="0.3">
      <c r="B15" s="14" t="s">
        <v>50</v>
      </c>
      <c r="C15" s="14">
        <v>4487</v>
      </c>
      <c r="D15" s="14">
        <v>3923</v>
      </c>
      <c r="E15" s="14">
        <v>4347</v>
      </c>
      <c r="F15" s="14">
        <v>143292</v>
      </c>
      <c r="G15" s="14">
        <v>12471</v>
      </c>
      <c r="H15" s="14">
        <f t="shared" si="5"/>
        <v>155763</v>
      </c>
      <c r="I15" s="16">
        <f t="shared" si="1"/>
        <v>2.5185698785976131E-2</v>
      </c>
      <c r="J15" s="16">
        <f t="shared" si="2"/>
        <v>8.0063943298472676E-2</v>
      </c>
      <c r="K15" s="16">
        <f t="shared" si="3"/>
        <v>0.35979472375912114</v>
      </c>
      <c r="L15" s="16">
        <f t="shared" si="4"/>
        <v>0.31456980194050199</v>
      </c>
      <c r="M15" s="16">
        <v>3.2000000000000001E-2</v>
      </c>
      <c r="Q15" s="13"/>
      <c r="R15" s="13"/>
      <c r="U15" s="13"/>
      <c r="V15" s="13"/>
      <c r="X15" s="13"/>
      <c r="Y15" s="13"/>
      <c r="AB15" s="13"/>
      <c r="AC15" s="13"/>
      <c r="AE15" s="13"/>
      <c r="AF15" s="13"/>
    </row>
    <row r="16" spans="1:36" x14ac:dyDescent="0.3">
      <c r="B16" s="14" t="s">
        <v>51</v>
      </c>
      <c r="C16" s="14">
        <v>4626</v>
      </c>
      <c r="D16" s="14">
        <v>4127</v>
      </c>
      <c r="E16" s="14">
        <v>4435</v>
      </c>
      <c r="F16" s="14">
        <v>145150</v>
      </c>
      <c r="G16" s="14">
        <v>10202</v>
      </c>
      <c r="H16" s="14">
        <f t="shared" si="5"/>
        <v>155352</v>
      </c>
      <c r="I16" s="16">
        <f t="shared" si="1"/>
        <v>2.6565477110046861E-2</v>
      </c>
      <c r="J16" s="16">
        <f t="shared" si="2"/>
        <v>6.5670219887738815E-2</v>
      </c>
      <c r="K16" s="16">
        <f t="shared" si="3"/>
        <v>0.45344050186237994</v>
      </c>
      <c r="L16" s="16">
        <f t="shared" si="4"/>
        <v>0.40452852381885906</v>
      </c>
      <c r="M16" s="16">
        <v>3.2000000000000001E-2</v>
      </c>
      <c r="Q16" s="13"/>
      <c r="R16" s="13"/>
      <c r="U16" s="13"/>
      <c r="V16" s="13"/>
      <c r="X16" s="13"/>
      <c r="Y16" s="13"/>
      <c r="AB16" s="13"/>
      <c r="AC16" s="13"/>
      <c r="AE16" s="13"/>
      <c r="AF16" s="13"/>
    </row>
    <row r="17" spans="2:32" x14ac:dyDescent="0.3">
      <c r="B17" s="14" t="s">
        <v>52</v>
      </c>
      <c r="C17" s="14">
        <v>5061</v>
      </c>
      <c r="D17" s="14">
        <v>5344</v>
      </c>
      <c r="E17" s="14">
        <v>4886</v>
      </c>
      <c r="F17" s="14">
        <v>148145</v>
      </c>
      <c r="G17" s="14">
        <v>8885</v>
      </c>
      <c r="H17" s="14">
        <f t="shared" si="5"/>
        <v>157030</v>
      </c>
      <c r="I17" s="16">
        <f t="shared" si="1"/>
        <v>3.4031713685283065E-2</v>
      </c>
      <c r="J17" s="16">
        <f t="shared" si="2"/>
        <v>5.6581544927720814E-2</v>
      </c>
      <c r="K17" s="16">
        <f t="shared" si="3"/>
        <v>0.56961170512099046</v>
      </c>
      <c r="L17" s="16">
        <f t="shared" si="4"/>
        <v>0.6014631401238042</v>
      </c>
      <c r="M17" s="16">
        <v>3.5000000000000003E-2</v>
      </c>
      <c r="Q17" s="13"/>
      <c r="R17" s="13"/>
      <c r="U17" s="13"/>
      <c r="V17" s="13"/>
      <c r="X17" s="13"/>
      <c r="Y17" s="13"/>
      <c r="AB17" s="13"/>
      <c r="AC17" s="13"/>
      <c r="AE17" s="13"/>
      <c r="AF17" s="13"/>
    </row>
    <row r="18" spans="2:32" x14ac:dyDescent="0.3">
      <c r="B18" s="14" t="s">
        <v>53</v>
      </c>
      <c r="C18" s="14">
        <v>5520</v>
      </c>
      <c r="D18" s="14">
        <v>6012</v>
      </c>
      <c r="E18" s="14">
        <v>5099</v>
      </c>
      <c r="F18" s="14">
        <v>150653</v>
      </c>
      <c r="G18" s="14">
        <v>7627</v>
      </c>
      <c r="H18" s="14">
        <f t="shared" si="5"/>
        <v>158280</v>
      </c>
      <c r="I18" s="16">
        <f t="shared" si="1"/>
        <v>3.7983320697498102E-2</v>
      </c>
      <c r="J18" s="16">
        <f t="shared" si="2"/>
        <v>4.8186757644680313E-2</v>
      </c>
      <c r="K18" s="16">
        <f t="shared" si="3"/>
        <v>0.72374459158253568</v>
      </c>
      <c r="L18" s="16">
        <f t="shared" si="4"/>
        <v>0.7882522617018487</v>
      </c>
      <c r="M18" s="16">
        <v>3.5999999999999997E-2</v>
      </c>
      <c r="Q18" s="13"/>
      <c r="R18" s="13"/>
      <c r="U18" s="13"/>
      <c r="V18" s="13"/>
      <c r="X18" s="13"/>
      <c r="Y18" s="13"/>
      <c r="AB18" s="13"/>
      <c r="AC18" s="13"/>
      <c r="AE18" s="13"/>
      <c r="AF18" s="13"/>
    </row>
    <row r="19" spans="2:32" x14ac:dyDescent="0.3">
      <c r="B19" s="14" t="s">
        <v>54</v>
      </c>
      <c r="C19" s="14">
        <v>5499</v>
      </c>
      <c r="D19" s="14">
        <v>5617</v>
      </c>
      <c r="E19" s="14">
        <v>5320</v>
      </c>
      <c r="F19" s="14">
        <v>152152</v>
      </c>
      <c r="G19" s="14">
        <v>7468</v>
      </c>
      <c r="H19" s="14">
        <f t="shared" si="5"/>
        <v>159620</v>
      </c>
      <c r="I19" s="16">
        <f t="shared" si="1"/>
        <v>3.5189825836361356E-2</v>
      </c>
      <c r="J19" s="16">
        <f t="shared" si="2"/>
        <v>4.678611702794136E-2</v>
      </c>
      <c r="K19" s="16">
        <f t="shared" si="3"/>
        <v>0.73634172469201931</v>
      </c>
      <c r="L19" s="16">
        <f t="shared" si="4"/>
        <v>0.75214247455811467</v>
      </c>
      <c r="M19" s="16">
        <v>3.5999999999999997E-2</v>
      </c>
      <c r="Q19" s="13"/>
      <c r="R19" s="13"/>
      <c r="U19" s="13"/>
      <c r="V19" s="13"/>
      <c r="X19" s="13"/>
      <c r="Y19" s="13"/>
      <c r="AB19" s="13"/>
      <c r="AC19" s="13"/>
      <c r="AE19" s="13"/>
      <c r="AF19" s="13"/>
    </row>
    <row r="20" spans="2:32" x14ac:dyDescent="0.3">
      <c r="B20" s="14" t="s">
        <v>55</v>
      </c>
      <c r="C20" s="14">
        <v>5512</v>
      </c>
      <c r="D20" s="14">
        <v>6621</v>
      </c>
      <c r="E20" s="14">
        <v>5288</v>
      </c>
      <c r="F20" s="14">
        <v>154425</v>
      </c>
      <c r="G20" s="14">
        <v>6489</v>
      </c>
      <c r="H20" s="14">
        <f t="shared" si="5"/>
        <v>160914</v>
      </c>
      <c r="I20" s="16">
        <f t="shared" si="1"/>
        <v>4.1146202319251278E-2</v>
      </c>
      <c r="J20" s="16">
        <f t="shared" si="2"/>
        <v>4.0325888362727914E-2</v>
      </c>
      <c r="K20" s="16">
        <f t="shared" si="3"/>
        <v>0.84943750963168441</v>
      </c>
      <c r="L20" s="16">
        <f t="shared" si="4"/>
        <v>1.020342117429496</v>
      </c>
      <c r="M20" s="16">
        <v>3.5999999999999997E-2</v>
      </c>
      <c r="Q20" s="13"/>
      <c r="R20" s="13"/>
      <c r="U20" s="13"/>
      <c r="V20" s="13"/>
      <c r="X20" s="13"/>
      <c r="Y20" s="13"/>
      <c r="AB20" s="13"/>
      <c r="AC20" s="13"/>
      <c r="AE20" s="13"/>
      <c r="AF20" s="13"/>
    </row>
    <row r="21" spans="2:32" x14ac:dyDescent="0.3">
      <c r="B21" s="14" t="s">
        <v>56</v>
      </c>
      <c r="C21" s="14">
        <v>5786</v>
      </c>
      <c r="D21" s="14">
        <v>7502</v>
      </c>
      <c r="E21" s="14">
        <v>5549</v>
      </c>
      <c r="F21" s="14">
        <v>156487</v>
      </c>
      <c r="G21" s="14">
        <v>6475</v>
      </c>
      <c r="H21" s="14">
        <f t="shared" si="5"/>
        <v>162962</v>
      </c>
      <c r="I21" s="16">
        <f t="shared" si="1"/>
        <v>4.6035272026607427E-2</v>
      </c>
      <c r="J21" s="16">
        <f t="shared" si="2"/>
        <v>3.9733189332482419E-2</v>
      </c>
      <c r="K21" s="16">
        <f t="shared" si="3"/>
        <v>0.8935907335907336</v>
      </c>
      <c r="L21" s="16">
        <f t="shared" si="4"/>
        <v>1.1586100386100386</v>
      </c>
      <c r="M21" s="16">
        <v>3.6999999999999998E-2</v>
      </c>
      <c r="Q21" s="13"/>
      <c r="R21" s="13"/>
      <c r="U21" s="13"/>
      <c r="V21" s="13"/>
      <c r="X21" s="13"/>
      <c r="Y21" s="13"/>
      <c r="AB21" s="13"/>
      <c r="AC21" s="13"/>
      <c r="AE21" s="13"/>
      <c r="AF21" s="13"/>
    </row>
    <row r="22" spans="2:32" x14ac:dyDescent="0.3">
      <c r="B22" s="14" t="s">
        <v>82</v>
      </c>
      <c r="C22" s="14">
        <v>5981</v>
      </c>
      <c r="D22" s="14">
        <v>7124</v>
      </c>
      <c r="E22" s="14">
        <v>5741</v>
      </c>
      <c r="F22" s="14">
        <v>158508</v>
      </c>
      <c r="G22" s="14">
        <v>5869</v>
      </c>
      <c r="H22" s="14">
        <f t="shared" si="5"/>
        <v>164377</v>
      </c>
      <c r="I22" s="16">
        <f t="shared" si="1"/>
        <v>4.3339396630915517E-2</v>
      </c>
      <c r="J22" s="16">
        <f t="shared" si="2"/>
        <v>3.5704508538299151E-2</v>
      </c>
      <c r="K22" s="16">
        <f t="shared" si="3"/>
        <v>1.0190833191344351</v>
      </c>
      <c r="L22" s="16">
        <f t="shared" si="4"/>
        <v>1.2138354063724655</v>
      </c>
      <c r="M22" s="16">
        <v>3.6999999999999998E-2</v>
      </c>
      <c r="Q22" s="13"/>
      <c r="R22" s="13"/>
      <c r="U22" s="13"/>
      <c r="V22" s="13"/>
      <c r="X22" s="13"/>
      <c r="Y22" s="13"/>
      <c r="AB22" s="13"/>
      <c r="AC22" s="13"/>
      <c r="AE22" s="13"/>
      <c r="AF22" s="13"/>
    </row>
    <row r="23" spans="2:32" x14ac:dyDescent="0.3">
      <c r="B23" s="14" t="s">
        <v>83</v>
      </c>
      <c r="C23" s="14">
        <v>5594</v>
      </c>
      <c r="D23" s="14">
        <v>7204</v>
      </c>
      <c r="E23" s="14">
        <v>5229</v>
      </c>
      <c r="F23" s="14">
        <v>149852</v>
      </c>
      <c r="G23" s="14">
        <v>10236</v>
      </c>
      <c r="H23" s="14">
        <f t="shared" si="5"/>
        <v>160088</v>
      </c>
      <c r="I23" s="16">
        <f t="shared" si="1"/>
        <v>4.5000249862575586E-2</v>
      </c>
      <c r="J23" s="16">
        <f t="shared" si="2"/>
        <v>6.3939833091799514E-2</v>
      </c>
      <c r="K23" s="16">
        <f t="shared" si="3"/>
        <v>0.54650254005470889</v>
      </c>
      <c r="L23" s="16">
        <f t="shared" si="4"/>
        <v>0.70379054318093004</v>
      </c>
      <c r="M23" s="16">
        <v>3.6999999999999998E-2</v>
      </c>
    </row>
    <row r="24" spans="2:32" x14ac:dyDescent="0.3">
      <c r="B24" s="14" t="s">
        <v>84</v>
      </c>
      <c r="C24" s="14">
        <v>6400</v>
      </c>
      <c r="D24" s="14">
        <v>11238</v>
      </c>
      <c r="E24" s="14">
        <v>6265</v>
      </c>
      <c r="F24" s="14">
        <v>157115</v>
      </c>
      <c r="G24" s="14">
        <v>6512</v>
      </c>
      <c r="H24" s="14">
        <f t="shared" si="5"/>
        <v>163627</v>
      </c>
      <c r="I24" s="16">
        <f t="shared" si="1"/>
        <v>6.8680596723034712E-2</v>
      </c>
      <c r="J24" s="16">
        <f t="shared" si="2"/>
        <v>3.9797832875992346E-2</v>
      </c>
      <c r="K24" s="16">
        <f t="shared" si="3"/>
        <v>0.98280098280098283</v>
      </c>
      <c r="L24" s="16">
        <f t="shared" si="4"/>
        <v>1.7257371007371007</v>
      </c>
      <c r="M24" s="16">
        <v>3.6999999999999998E-2</v>
      </c>
    </row>
    <row r="25" spans="2:32" x14ac:dyDescent="0.3">
      <c r="B25" s="14" t="s">
        <v>85</v>
      </c>
      <c r="C25" s="14">
        <v>6347</v>
      </c>
      <c r="D25" s="14">
        <v>10393</v>
      </c>
      <c r="E25" s="14">
        <v>6026</v>
      </c>
      <c r="F25" s="14">
        <v>160217</v>
      </c>
      <c r="G25" s="14">
        <v>5747</v>
      </c>
      <c r="H25" s="14">
        <f t="shared" si="5"/>
        <v>165964</v>
      </c>
      <c r="I25" s="16">
        <f t="shared" si="1"/>
        <v>6.2622014412764215E-2</v>
      </c>
      <c r="J25" s="16">
        <f t="shared" si="2"/>
        <v>3.4627991612638888E-2</v>
      </c>
      <c r="K25" s="16">
        <f t="shared" si="3"/>
        <v>1.1044022968505307</v>
      </c>
      <c r="L25" s="16">
        <f t="shared" si="4"/>
        <v>1.8084217852792761</v>
      </c>
      <c r="M25" s="16">
        <v>3.6999999999999998E-2</v>
      </c>
    </row>
    <row r="26" spans="2:32" x14ac:dyDescent="0.3">
      <c r="B26" s="14" t="s">
        <v>86</v>
      </c>
      <c r="C26" s="14">
        <v>5572</v>
      </c>
      <c r="D26" s="14">
        <v>8468</v>
      </c>
      <c r="E26" s="14">
        <v>5429</v>
      </c>
      <c r="F26" s="14">
        <v>161190</v>
      </c>
      <c r="G26" s="14">
        <v>6149</v>
      </c>
      <c r="H26" s="14">
        <f t="shared" si="5"/>
        <v>167339</v>
      </c>
      <c r="I26" s="16">
        <f t="shared" si="1"/>
        <v>5.0603864012573281E-2</v>
      </c>
      <c r="J26" s="16">
        <f t="shared" si="2"/>
        <v>3.6745767573608062E-2</v>
      </c>
      <c r="K26" s="16">
        <f t="shared" si="3"/>
        <v>0.90616360383802241</v>
      </c>
      <c r="L26" s="16">
        <f t="shared" si="4"/>
        <v>1.3771344934135632</v>
      </c>
      <c r="M26" s="16">
        <v>3.6999999999999998E-2</v>
      </c>
    </row>
    <row r="27" spans="2:32" x14ac:dyDescent="0.3">
      <c r="B27" s="14" t="s">
        <v>87</v>
      </c>
      <c r="C27" s="14">
        <v>5371</v>
      </c>
      <c r="D27" s="14">
        <v>7762</v>
      </c>
      <c r="E27" s="14">
        <v>5272</v>
      </c>
      <c r="F27" s="14">
        <v>163895</v>
      </c>
      <c r="G27" s="14">
        <v>6849</v>
      </c>
      <c r="H27" s="14">
        <f t="shared" si="5"/>
        <v>170744</v>
      </c>
      <c r="I27" s="16">
        <f t="shared" si="1"/>
        <v>4.5459869746521109E-2</v>
      </c>
      <c r="J27" s="16">
        <f t="shared" si="2"/>
        <v>4.0112683315372724E-2</v>
      </c>
      <c r="K27" s="16">
        <f t="shared" si="3"/>
        <v>0.78420207329537162</v>
      </c>
      <c r="L27" s="16">
        <f t="shared" si="4"/>
        <v>1.1333041319900716</v>
      </c>
      <c r="M27" s="16">
        <v>3.6999999999999998E-2</v>
      </c>
      <c r="O27" s="18"/>
    </row>
    <row r="28" spans="2:32" x14ac:dyDescent="0.3">
      <c r="H28" t="s">
        <v>93</v>
      </c>
      <c r="I28" s="16">
        <f t="shared" ref="I28:M28" si="6">AVERAGE(I4:I27)</f>
        <v>3.4681032571829917E-2</v>
      </c>
      <c r="J28" s="16">
        <f t="shared" si="6"/>
        <v>5.6126139593791757E-2</v>
      </c>
      <c r="K28" s="16">
        <f t="shared" si="6"/>
        <v>0.65712911541482177</v>
      </c>
      <c r="L28" s="16">
        <f t="shared" si="6"/>
        <v>0.73299771168140015</v>
      </c>
      <c r="M28" s="16">
        <f t="shared" si="6"/>
        <v>3.3625000000000016E-2</v>
      </c>
      <c r="Q28" s="19"/>
      <c r="R28" s="20"/>
    </row>
    <row r="31" spans="2:32" x14ac:dyDescent="0.3">
      <c r="G31" t="s">
        <v>3</v>
      </c>
      <c r="H31" t="s">
        <v>4</v>
      </c>
    </row>
    <row r="32" spans="2:32" x14ac:dyDescent="0.3">
      <c r="F32" s="14" t="s">
        <v>74</v>
      </c>
      <c r="G32" s="29">
        <f>+J4</f>
        <v>5.6865647783268351E-2</v>
      </c>
      <c r="H32" s="29">
        <f>+I4</f>
        <v>2.570838806530306E-2</v>
      </c>
      <c r="Q32" s="19"/>
    </row>
    <row r="33" spans="6:21" x14ac:dyDescent="0.3">
      <c r="F33" s="14" t="s">
        <v>75</v>
      </c>
      <c r="G33" s="29">
        <f t="shared" ref="G33:G55" si="7">+J5</f>
        <v>5.8381356338694096E-2</v>
      </c>
      <c r="H33" s="29">
        <f t="shared" ref="H33:H55" si="8">+I5</f>
        <v>2.3578667507212017E-2</v>
      </c>
      <c r="Q33" s="14"/>
    </row>
    <row r="34" spans="6:21" x14ac:dyDescent="0.3">
      <c r="F34" s="14" t="s">
        <v>76</v>
      </c>
      <c r="G34" s="29">
        <f t="shared" si="7"/>
        <v>5.7000040860244343E-2</v>
      </c>
      <c r="H34" s="29">
        <f t="shared" si="8"/>
        <v>2.3317579439125047E-2</v>
      </c>
      <c r="Q34" s="18"/>
    </row>
    <row r="35" spans="6:21" x14ac:dyDescent="0.3">
      <c r="F35" s="14" t="s">
        <v>77</v>
      </c>
      <c r="G35" s="29">
        <f t="shared" si="7"/>
        <v>5.2584290915969167E-2</v>
      </c>
      <c r="H35" s="29">
        <f t="shared" si="8"/>
        <v>2.5697667348965406E-2</v>
      </c>
    </row>
    <row r="36" spans="6:21" x14ac:dyDescent="0.3">
      <c r="F36" s="14" t="s">
        <v>78</v>
      </c>
      <c r="G36" s="29">
        <f t="shared" si="7"/>
        <v>4.7026242560613524E-2</v>
      </c>
      <c r="H36" s="29">
        <f t="shared" si="8"/>
        <v>2.9271572556486079E-2</v>
      </c>
      <c r="Q36" s="19"/>
    </row>
    <row r="37" spans="6:21" x14ac:dyDescent="0.3">
      <c r="F37" s="14" t="s">
        <v>79</v>
      </c>
      <c r="G37" s="29">
        <f t="shared" si="7"/>
        <v>4.6466071148722768E-2</v>
      </c>
      <c r="H37" s="29">
        <f t="shared" si="8"/>
        <v>3.1101447004126835E-2</v>
      </c>
    </row>
    <row r="38" spans="6:21" x14ac:dyDescent="0.3">
      <c r="F38" s="14" t="s">
        <v>80</v>
      </c>
      <c r="G38" s="29">
        <f t="shared" si="7"/>
        <v>4.9882191051712613E-2</v>
      </c>
      <c r="H38" s="29">
        <f t="shared" si="8"/>
        <v>3.0013695695916606E-2</v>
      </c>
      <c r="Q38" s="11"/>
      <c r="R38" s="13"/>
    </row>
    <row r="39" spans="6:21" x14ac:dyDescent="0.3">
      <c r="F39" s="14" t="s">
        <v>81</v>
      </c>
      <c r="G39" s="29">
        <f t="shared" si="7"/>
        <v>7.8192075740872835E-2</v>
      </c>
      <c r="H39" s="29">
        <f t="shared" si="8"/>
        <v>1.7755009402762468E-2</v>
      </c>
      <c r="Q39" s="11"/>
      <c r="R39" s="13"/>
    </row>
    <row r="40" spans="6:21" x14ac:dyDescent="0.3">
      <c r="F40" t="s">
        <v>47</v>
      </c>
      <c r="G40" s="29">
        <f t="shared" si="7"/>
        <v>9.8029762059888975E-2</v>
      </c>
      <c r="H40" s="29">
        <f t="shared" si="8"/>
        <v>1.848401136274791E-2</v>
      </c>
      <c r="U40" s="13"/>
    </row>
    <row r="41" spans="6:21" x14ac:dyDescent="0.3">
      <c r="F41" t="s">
        <v>48</v>
      </c>
      <c r="G41" s="29">
        <f t="shared" si="7"/>
        <v>9.1431069468821569E-2</v>
      </c>
      <c r="H41" s="29">
        <f t="shared" si="8"/>
        <v>2.0252768117549572E-2</v>
      </c>
      <c r="Q41" s="11"/>
      <c r="R41" s="13"/>
    </row>
    <row r="42" spans="6:21" x14ac:dyDescent="0.3">
      <c r="F42" t="s">
        <v>49</v>
      </c>
      <c r="G42" s="29">
        <f t="shared" si="7"/>
        <v>8.289232483271905E-2</v>
      </c>
      <c r="H42" s="29">
        <f t="shared" si="8"/>
        <v>2.5320473374314197E-2</v>
      </c>
      <c r="Q42" s="11"/>
      <c r="R42" s="13"/>
    </row>
    <row r="43" spans="6:21" x14ac:dyDescent="0.3">
      <c r="F43" t="s">
        <v>50</v>
      </c>
      <c r="G43" s="29">
        <f t="shared" si="7"/>
        <v>8.0063943298472676E-2</v>
      </c>
      <c r="H43" s="29">
        <f t="shared" si="8"/>
        <v>2.5185698785976131E-2</v>
      </c>
      <c r="Q43" s="11"/>
    </row>
    <row r="44" spans="6:21" x14ac:dyDescent="0.3">
      <c r="F44" t="s">
        <v>51</v>
      </c>
      <c r="G44" s="29">
        <f t="shared" si="7"/>
        <v>6.5670219887738815E-2</v>
      </c>
      <c r="H44" s="29">
        <f t="shared" si="8"/>
        <v>2.6565477110046861E-2</v>
      </c>
    </row>
    <row r="45" spans="6:21" x14ac:dyDescent="0.3">
      <c r="F45" t="s">
        <v>52</v>
      </c>
      <c r="G45" s="29">
        <f t="shared" si="7"/>
        <v>5.6581544927720814E-2</v>
      </c>
      <c r="H45" s="29">
        <f t="shared" si="8"/>
        <v>3.4031713685283065E-2</v>
      </c>
    </row>
    <row r="46" spans="6:21" x14ac:dyDescent="0.3">
      <c r="F46" t="s">
        <v>53</v>
      </c>
      <c r="G46" s="29">
        <f t="shared" si="7"/>
        <v>4.8186757644680313E-2</v>
      </c>
      <c r="H46" s="29">
        <f t="shared" si="8"/>
        <v>3.7983320697498102E-2</v>
      </c>
    </row>
    <row r="47" spans="6:21" x14ac:dyDescent="0.3">
      <c r="F47" t="s">
        <v>54</v>
      </c>
      <c r="G47" s="29">
        <f t="shared" si="7"/>
        <v>4.678611702794136E-2</v>
      </c>
      <c r="H47" s="29">
        <f t="shared" si="8"/>
        <v>3.5189825836361356E-2</v>
      </c>
    </row>
    <row r="48" spans="6:21" x14ac:dyDescent="0.3">
      <c r="F48" t="s">
        <v>55</v>
      </c>
      <c r="G48" s="29">
        <f t="shared" si="7"/>
        <v>4.0325888362727914E-2</v>
      </c>
      <c r="H48" s="29">
        <f t="shared" si="8"/>
        <v>4.1146202319251278E-2</v>
      </c>
    </row>
    <row r="49" spans="6:8" x14ac:dyDescent="0.3">
      <c r="F49" t="s">
        <v>56</v>
      </c>
      <c r="G49" s="29">
        <f t="shared" si="7"/>
        <v>3.9733189332482419E-2</v>
      </c>
      <c r="H49" s="29">
        <f t="shared" si="8"/>
        <v>4.6035272026607427E-2</v>
      </c>
    </row>
    <row r="50" spans="6:8" x14ac:dyDescent="0.3">
      <c r="F50" s="14" t="s">
        <v>82</v>
      </c>
      <c r="G50" s="29">
        <f t="shared" si="7"/>
        <v>3.5704508538299151E-2</v>
      </c>
      <c r="H50" s="29">
        <f t="shared" si="8"/>
        <v>4.3339396630915517E-2</v>
      </c>
    </row>
    <row r="51" spans="6:8" x14ac:dyDescent="0.3">
      <c r="F51" s="14" t="s">
        <v>83</v>
      </c>
      <c r="G51" s="29">
        <f t="shared" si="7"/>
        <v>6.3939833091799514E-2</v>
      </c>
      <c r="H51" s="29">
        <f t="shared" si="8"/>
        <v>4.5000249862575586E-2</v>
      </c>
    </row>
    <row r="52" spans="6:8" x14ac:dyDescent="0.3">
      <c r="F52" s="14" t="s">
        <v>84</v>
      </c>
      <c r="G52" s="29">
        <f t="shared" si="7"/>
        <v>3.9797832875992346E-2</v>
      </c>
      <c r="H52" s="29">
        <f t="shared" si="8"/>
        <v>6.8680596723034712E-2</v>
      </c>
    </row>
    <row r="53" spans="6:8" x14ac:dyDescent="0.3">
      <c r="F53" s="14" t="s">
        <v>85</v>
      </c>
      <c r="G53" s="29">
        <f t="shared" si="7"/>
        <v>3.4627991612638888E-2</v>
      </c>
      <c r="H53" s="29">
        <f t="shared" si="8"/>
        <v>6.2622014412764215E-2</v>
      </c>
    </row>
    <row r="54" spans="6:8" x14ac:dyDescent="0.3">
      <c r="F54" s="14" t="s">
        <v>86</v>
      </c>
      <c r="G54" s="29">
        <f t="shared" si="7"/>
        <v>3.6745767573608062E-2</v>
      </c>
      <c r="H54" s="29">
        <f t="shared" si="8"/>
        <v>5.0603864012573281E-2</v>
      </c>
    </row>
    <row r="55" spans="6:8" x14ac:dyDescent="0.3">
      <c r="F55" s="14" t="s">
        <v>87</v>
      </c>
      <c r="G55" s="29">
        <f t="shared" si="7"/>
        <v>4.0112683315372724E-2</v>
      </c>
      <c r="H55" s="29">
        <f t="shared" si="8"/>
        <v>4.5459869746521109E-2</v>
      </c>
    </row>
  </sheetData>
  <mergeCells count="2">
    <mergeCell ref="C2:G2"/>
    <mergeCell ref="H2:M2"/>
  </mergeCells>
  <hyperlinks>
    <hyperlink ref="O4" r:id="rId1" display="https://fred.stlouisfed.org/series/JTSHIL" xr:uid="{82841BE5-510B-4406-A822-52A976BE374E}"/>
    <hyperlink ref="O5" r:id="rId2" display="https://fred.stlouisfed.org/series/JTSJOL" xr:uid="{1247C7EB-F5A6-4A2A-AA9A-6BE9B41E9ED3}"/>
    <hyperlink ref="O6" r:id="rId3" display="https://fred.stlouisfed.org/series/JTSTSL" xr:uid="{45D88C8E-2822-4B27-9B5B-933345D4101C}"/>
    <hyperlink ref="O7" r:id="rId4" display="https://fred.stlouisfed.org/series/CE16OV" xr:uid="{B1E80734-D677-4674-807C-2A10E2930F66}"/>
    <hyperlink ref="O8" r:id="rId5" display="https://fred.stlouisfed.org/series/UNEMPLOY" xr:uid="{72EE480E-2E0F-484E-AD08-D8F618FDC8D8}"/>
  </hyperlinks>
  <pageMargins left="0.7" right="0.7" top="0.75" bottom="0.75" header="0.3" footer="0.3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D3AF-C745-48A5-B00B-8A81FAE569BD}">
  <dimension ref="B1:C25"/>
  <sheetViews>
    <sheetView workbookViewId="0">
      <selection activeCell="K13" sqref="K13"/>
    </sheetView>
  </sheetViews>
  <sheetFormatPr baseColWidth="10" defaultColWidth="11.5546875" defaultRowHeight="14.4" x14ac:dyDescent="0.3"/>
  <cols>
    <col min="2" max="2" width="41.21875" customWidth="1"/>
  </cols>
  <sheetData>
    <row r="1" spans="2:3" ht="15" thickBot="1" x14ac:dyDescent="0.35">
      <c r="B1" t="s">
        <v>95</v>
      </c>
    </row>
    <row r="2" spans="2:3" ht="16.2" thickBot="1" x14ac:dyDescent="0.35">
      <c r="B2" s="30" t="s">
        <v>94</v>
      </c>
      <c r="C2" s="31"/>
    </row>
    <row r="3" spans="2:3" x14ac:dyDescent="0.3">
      <c r="B3" s="4"/>
      <c r="C3" s="5"/>
    </row>
    <row r="4" spans="2:3" x14ac:dyDescent="0.3">
      <c r="B4" s="2" t="s">
        <v>18</v>
      </c>
      <c r="C4" s="5"/>
    </row>
    <row r="5" spans="2:3" x14ac:dyDescent="0.3">
      <c r="B5" s="6" t="s">
        <v>0</v>
      </c>
      <c r="C5" s="9">
        <v>3.5000000000000003E-2</v>
      </c>
    </row>
    <row r="6" spans="2:3" x14ac:dyDescent="0.3">
      <c r="B6" s="4" t="s">
        <v>1</v>
      </c>
      <c r="C6" s="9">
        <v>0.12</v>
      </c>
    </row>
    <row r="7" spans="2:3" x14ac:dyDescent="0.3">
      <c r="B7" s="6" t="s">
        <v>29</v>
      </c>
      <c r="C7" s="9">
        <v>1</v>
      </c>
    </row>
    <row r="8" spans="2:3" x14ac:dyDescent="0.3">
      <c r="B8" s="6" t="s">
        <v>24</v>
      </c>
      <c r="C8" s="9">
        <v>0.41</v>
      </c>
    </row>
    <row r="9" spans="2:3" x14ac:dyDescent="0.3">
      <c r="B9" s="25" t="s">
        <v>3</v>
      </c>
      <c r="C9" s="26">
        <v>5.5E-2</v>
      </c>
    </row>
    <row r="10" spans="2:3" x14ac:dyDescent="0.3">
      <c r="B10" s="25" t="s">
        <v>4</v>
      </c>
      <c r="C10" s="26">
        <v>3.5000000000000003E-2</v>
      </c>
    </row>
    <row r="11" spans="2:3" x14ac:dyDescent="0.3">
      <c r="B11" s="25" t="s">
        <v>7</v>
      </c>
      <c r="C11" s="26">
        <f>+C10/C9</f>
        <v>0.63636363636363646</v>
      </c>
    </row>
    <row r="12" spans="2:3" x14ac:dyDescent="0.3">
      <c r="B12" s="2" t="s">
        <v>19</v>
      </c>
      <c r="C12" s="10"/>
    </row>
    <row r="13" spans="2:3" x14ac:dyDescent="0.3">
      <c r="B13" s="6" t="s">
        <v>26</v>
      </c>
      <c r="C13" s="9">
        <v>0.75384921328050469</v>
      </c>
    </row>
    <row r="14" spans="2:3" x14ac:dyDescent="0.3">
      <c r="B14" s="6" t="s">
        <v>25</v>
      </c>
      <c r="C14" s="9">
        <v>0.87873275808979745</v>
      </c>
    </row>
    <row r="15" spans="2:3" x14ac:dyDescent="0.3">
      <c r="B15" s="6" t="s">
        <v>2</v>
      </c>
      <c r="C15" s="9">
        <v>0.60136363636363621</v>
      </c>
    </row>
    <row r="16" spans="2:3" x14ac:dyDescent="0.3">
      <c r="B16" s="6" t="s">
        <v>5</v>
      </c>
      <c r="C16" s="9">
        <v>0.9449999999999994</v>
      </c>
    </row>
    <row r="17" spans="2:3" x14ac:dyDescent="0.3">
      <c r="B17" s="6" t="s">
        <v>6</v>
      </c>
      <c r="C17" s="9">
        <v>0.99555555555553799</v>
      </c>
    </row>
    <row r="18" spans="2:3" x14ac:dyDescent="0.3">
      <c r="B18" s="2" t="s">
        <v>20</v>
      </c>
      <c r="C18" s="10"/>
    </row>
    <row r="19" spans="2:3" x14ac:dyDescent="0.3">
      <c r="B19" s="6" t="s">
        <v>27</v>
      </c>
      <c r="C19" s="9">
        <f>C9-C5/(C5+C15)</f>
        <v>0</v>
      </c>
    </row>
    <row r="20" spans="2:3" x14ac:dyDescent="0.3">
      <c r="B20" s="6" t="s">
        <v>28</v>
      </c>
      <c r="C20" s="9">
        <f>C7-C17-C6*C5/C16</f>
        <v>1.7566677279479137E-14</v>
      </c>
    </row>
    <row r="21" spans="2:3" x14ac:dyDescent="0.3">
      <c r="B21" s="6" t="s">
        <v>68</v>
      </c>
      <c r="C21" s="9">
        <f>-C15+C13*(C11)^0.5</f>
        <v>0</v>
      </c>
    </row>
    <row r="22" spans="2:3" x14ac:dyDescent="0.3">
      <c r="B22" s="6" t="s">
        <v>70</v>
      </c>
      <c r="C22" s="9">
        <f>-C16+C13*C11^(-0.5)</f>
        <v>0</v>
      </c>
    </row>
    <row r="23" spans="2:3" x14ac:dyDescent="0.3">
      <c r="B23" s="6" t="s">
        <v>71</v>
      </c>
      <c r="C23" s="9">
        <f>-C17+C14*C7+C14*C6*C11+(1-C14)*C8</f>
        <v>5.1702704617628825E-10</v>
      </c>
    </row>
    <row r="24" spans="2:3" x14ac:dyDescent="0.3">
      <c r="B24" s="1" t="s">
        <v>21</v>
      </c>
      <c r="C24" s="10"/>
    </row>
    <row r="25" spans="2:3" ht="15" thickBot="1" x14ac:dyDescent="0.35">
      <c r="B25" s="7" t="s">
        <v>96</v>
      </c>
      <c r="C25" s="9">
        <f>+C19^2+C20^2+C21^2+C22^2+C23^2</f>
        <v>2.6731696678636585E-19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model</vt:lpstr>
      <vt:lpstr>UCVC</vt:lpstr>
      <vt:lpstr>data</vt:lpstr>
      <vt:lpstr>Calibration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Silva Beccerra</dc:creator>
  <cp:lastModifiedBy>Chamberlain, Trevor</cp:lastModifiedBy>
  <dcterms:created xsi:type="dcterms:W3CDTF">2014-12-04T13:09:18Z</dcterms:created>
  <dcterms:modified xsi:type="dcterms:W3CDTF">2026-08-24T23:38:44Z</dcterms:modified>
</cp:coreProperties>
</file>